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comments61.xml" ContentType="application/vnd.openxmlformats-officedocument.spreadsheetml.comments+xml"/>
  <Override PartName="/xl/worksheets/sheet55.xml" ContentType="application/vnd.openxmlformats-officedocument.spreadsheetml.worksheet+xml"/>
  <Override PartName="/xl/worksheets/sheet54.xml" ContentType="application/vnd.openxmlformats-officedocument.spreadsheetml.worksheet+xml"/>
  <Override PartName="/xl/worksheets/sheet53.xml" ContentType="application/vnd.openxmlformats-officedocument.spreadsheetml.worksheet+xml"/>
  <Override PartName="/xl/worksheets/sheet52.xml" ContentType="application/vnd.openxmlformats-officedocument.spreadsheetml.worksheet+xml"/>
  <Override PartName="/xl/worksheets/sheet51.xml" ContentType="application/vnd.openxmlformats-officedocument.spreadsheetml.worksheet+xml"/>
  <Override PartName="/xl/worksheets/sheet50.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49.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0.xml" ContentType="application/vnd.openxmlformats-officedocument.spreadsheetml.worksheet+xml"/>
  <Override PartName="/xl/worksheets/sheet24.xml" ContentType="application/vnd.openxmlformats-officedocument.spreadsheetml.worksheet+xml"/>
  <Override PartName="/xl/worksheets/sheet61.xml" ContentType="application/vnd.openxmlformats-officedocument.spreadsheetml.worksheet+xml"/>
  <Override PartName="/xl/worksheets/sheet25.xml" ContentType="application/vnd.openxmlformats-officedocument.spreadsheetml.worksheet+xml"/>
  <Override PartName="/xl/worksheets/sheet62.xml" ContentType="application/vnd.openxmlformats-officedocument.spreadsheetml.worksheet+xml"/>
  <Override PartName="/xl/worksheets/sheet26.xml" ContentType="application/vnd.openxmlformats-officedocument.spreadsheetml.worksheet+xml"/>
  <Override PartName="/xl/worksheets/sheet63.xml" ContentType="application/vnd.openxmlformats-officedocument.spreadsheetml.worksheet+xml"/>
  <Override PartName="/xl/worksheets/sheet27.xml" ContentType="application/vnd.openxmlformats-officedocument.spreadsheetml.worksheet+xml"/>
  <Override PartName="/xl/worksheets/sheet64.xml" ContentType="application/vnd.openxmlformats-officedocument.spreadsheetml.worksheet+xml"/>
  <Override PartName="/xl/worksheets/sheet28.xml" ContentType="application/vnd.openxmlformats-officedocument.spreadsheetml.worksheet+xml"/>
  <Override PartName="/xl/worksheets/sheet70.xml" ContentType="application/vnd.openxmlformats-officedocument.spreadsheetml.worksheet+xml"/>
  <Override PartName="/xl/worksheets/sheet65.xml" ContentType="application/vnd.openxmlformats-officedocument.spreadsheetml.worksheet+xml"/>
  <Override PartName="/xl/worksheets/sheet29.xml" ContentType="application/vnd.openxmlformats-officedocument.spreadsheetml.worksheet+xml"/>
  <Override PartName="/xl/worksheets/sheet71.xml" ContentType="application/vnd.openxmlformats-officedocument.spreadsheetml.worksheet+xml"/>
  <Override PartName="/xl/worksheets/_rels/sheet61.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49.xml.rels" ContentType="application/vnd.openxmlformats-package.relationships+xml"/>
  <Override PartName="/xl/worksheets/_rels/sheet2.xml.rels" ContentType="application/vnd.openxmlformats-package.relationships+xml"/>
  <Override PartName="/xl/worksheets/_rels/sheet47.xml.rels" ContentType="application/vnd.openxmlformats-package.relationships+xml"/>
  <Override PartName="/xl/worksheets/_rels/sheet45.xml.rels" ContentType="application/vnd.openxmlformats-package.relationships+xml"/>
  <Override PartName="/xl/worksheets/_rels/sheet46.xml.rels" ContentType="application/vnd.openxmlformats-package.relationships+xml"/>
  <Override PartName="/xl/worksheets/sheet66.xml" ContentType="application/vnd.openxmlformats-officedocument.spreadsheetml.worksheet+xml"/>
  <Override PartName="/xl/worksheets/sheet67.xml" ContentType="application/vnd.openxmlformats-officedocument.spreadsheetml.worksheet+xml"/>
  <Override PartName="/xl/worksheets/sheet87.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74.xml" ContentType="application/vnd.openxmlformats-officedocument.spreadsheetml.worksheet+xml"/>
  <Override PartName="/xl/worksheets/sheet85.xml" ContentType="application/vnd.openxmlformats-officedocument.spreadsheetml.worksheet+xml"/>
  <Override PartName="/xl/worksheets/sheet73.xml" ContentType="application/vnd.openxmlformats-officedocument.spreadsheetml.worksheet+xml"/>
  <Override PartName="/xl/worksheets/sheet79.xml" ContentType="application/vnd.openxmlformats-officedocument.spreadsheetml.worksheet+xml"/>
  <Override PartName="/xl/worksheets/sheet78.xml" ContentType="application/vnd.openxmlformats-officedocument.spreadsheetml.worksheet+xml"/>
  <Override PartName="/xl/worksheets/sheet77.xml" ContentType="application/vnd.openxmlformats-officedocument.spreadsheetml.worksheet+xml"/>
  <Override PartName="/xl/worksheets/sheet76.xml" ContentType="application/vnd.openxmlformats-officedocument.spreadsheetml.worksheet+xml"/>
  <Override PartName="/xl/worksheets/sheet72.xml" ContentType="application/vnd.openxmlformats-officedocument.spreadsheetml.worksheet+xml"/>
  <Override PartName="/xl/worksheets/sheet69.xml" ContentType="application/vnd.openxmlformats-officedocument.spreadsheetml.worksheet+xml"/>
  <Override PartName="/xl/worksheets/sheet68.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4.xml" ContentType="application/vnd.openxmlformats-officedocument.spreadsheetml.worksheet+xml"/>
  <Override PartName="/xl/worksheets/sheet59.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58.xml" ContentType="application/vnd.openxmlformats-officedocument.spreadsheetml.worksheet+xml"/>
  <Override PartName="/xl/worksheets/sheet19.xml" ContentType="application/vnd.openxmlformats-officedocument.spreadsheetml.worksheet+xml"/>
  <Override PartName="/xl/worksheets/sheet84.xml" ContentType="application/vnd.openxmlformats-officedocument.spreadsheetml.worksheet+xml"/>
  <Override PartName="/xl/worksheets/sheet20.xml" ContentType="application/vnd.openxmlformats-officedocument.spreadsheetml.worksheet+xml"/>
  <Override PartName="/xl/worksheets/sheet2.xml" ContentType="application/vnd.openxmlformats-officedocument.spreadsheetml.worksheet+xml"/>
  <Override PartName="/xl/worksheets/sheet57.xml" ContentType="application/vnd.openxmlformats-officedocument.spreadsheetml.worksheet+xml"/>
  <Override PartName="/xl/worksheets/sheet18.xml" ContentType="application/vnd.openxmlformats-officedocument.spreadsheetml.worksheet+xml"/>
  <Override PartName="/xl/worksheets/sheet83.xml" ContentType="application/vnd.openxmlformats-officedocument.spreadsheetml.worksheet+xml"/>
  <Override PartName="/xl/worksheets/sheet82.xml" ContentType="application/vnd.openxmlformats-officedocument.spreadsheetml.worksheet+xml"/>
  <Override PartName="/xl/worksheets/sheet17.xml" ContentType="application/vnd.openxmlformats-officedocument.spreadsheetml.worksheet+xml"/>
  <Override PartName="/xl/worksheets/sheet81.xml" ContentType="application/vnd.openxmlformats-officedocument.spreadsheetml.worksheet+xml"/>
  <Override PartName="/xl/worksheets/sheet16.xml" ContentType="application/vnd.openxmlformats-officedocument.spreadsheetml.worksheet+xml"/>
  <Override PartName="/xl/worksheets/sheet80.xml" ContentType="application/vnd.openxmlformats-officedocument.spreadsheetml.worksheet+xml"/>
  <Override PartName="/xl/worksheets/sheet15.xml" ContentType="application/vnd.openxmlformats-officedocument.spreadsheetml.worksheet+xml"/>
  <Override PartName="/xl/worksheets/sheet9.xml" ContentType="application/vnd.openxmlformats-officedocument.spreadsheetml.worksheet+xml"/>
  <Override PartName="/xl/worksheets/sheet14.xml" ContentType="application/vnd.openxmlformats-officedocument.spreadsheetml.worksheet+xml"/>
  <Override PartName="/xl/worksheets/sheet1.xml" ContentType="application/vnd.openxmlformats-officedocument.spreadsheetml.worksheet+xml"/>
  <Override PartName="/xl/worksheets/sheet5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47.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48.xml" ContentType="application/vnd.openxmlformats-officedocument.spreadsheetml.worksheet+xml"/>
  <Override PartName="/xl/comments49.xml" ContentType="application/vnd.openxmlformats-officedocument.spreadsheetml.comments+xml"/>
  <Override PartName="/xl/_rels/workbook.xml.rels" ContentType="application/vnd.openxmlformats-package.relationships+xml"/>
  <Override PartName="/xl/sharedStrings.xml" ContentType="application/vnd.openxmlformats-officedocument.spreadsheetml.sharedStrings+xml"/>
  <Override PartName="/xl/media/image1.jpeg" ContentType="image/jpeg"/>
  <Override PartName="/xl/media/image5.png" ContentType="image/png"/>
  <Override PartName="/xl/media/image2.png" ContentType="image/png"/>
  <Override PartName="/xl/media/image3.png" ContentType="image/png"/>
  <Override PartName="/xl/media/image4.png" ContentType="image/png"/>
  <Override PartName="/xl/media/image6.png" ContentType="image/png"/>
  <Override PartName="/xl/comments2.xml" ContentType="application/vnd.openxmlformats-officedocument.spreadsheetml.comments+xml"/>
  <Override PartName="/xl/drawings/_rels/drawing5.xml.rels" ContentType="application/vnd.openxmlformats-package.relationships+xml"/>
  <Override PartName="/xl/drawings/_rels/drawing2.xml.rels" ContentType="application/vnd.openxmlformats-package.relationships+xml"/>
  <Override PartName="/xl/drawings/_rels/drawing4.xml.rels" ContentType="application/vnd.openxmlformats-package.relationships+xml"/>
  <Override PartName="/xl/drawings/_rels/drawing1.xml.rels" ContentType="application/vnd.openxmlformats-package.relationships+xml"/>
  <Override PartName="/xl/drawings/_rels/drawing3.xml.rels" ContentType="application/vnd.openxmlformats-package.relationships+xml"/>
  <Override PartName="/xl/drawings/_rels/drawing6.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drawings/drawing6.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vmlDrawing3.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9"/>
  </bookViews>
  <sheets>
    <sheet name="Инструкция" sheetId="1" state="visible" r:id="rId2"/>
    <sheet name="Титульный" sheetId="2" state="visible" r:id="rId3"/>
    <sheet name="Список территорий" sheetId="3" state="visible" r:id="rId4"/>
    <sheet name="Дифференциация" sheetId="4" state="hidden" r:id="rId5"/>
    <sheet name="Перечень тарифов" sheetId="5" state="visible"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visible"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state="visible"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IP_DETAILED_FACT_IST_FIN" vbProcedure="false">'ИП. Детализация'!$AD:$AE</definedName>
    <definedName function="false" hidden="false" name="BLOCK_IP_DETAILED_FACT_PERIOD_EVENT" vbProcedure="false">'ИП. Детализация'!$AI:$AK</definedName>
    <definedName function="false" hidden="false" name="BLOCK_MAIN_INFO_HEAT" vbProcedure="false">'Общая информация об организации'!$19:$24</definedName>
    <definedName function="false" hidden="false" name="BLOCK_MAIN_INFO_NOT_TKO" vbProcedure="false">'Общая информация об организации'!$46:$49</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Т-гор.вода'!$93:$94</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Т-транс'!$55:$56</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P_TARIFF_H" vbProcedure="false">'ТС. Т-подкл(инд)'!$63:$65</definedName>
    <definedName function="false" hidden="false" name="BLOCK_NOTE_P_TARIFF_I" vbProcedure="false">'ТС. Т-ТЭ | предел'!$58:$60</definedName>
    <definedName function="false" hidden="false" name="BLOCK_NOTE_P_TARIFF_I_1" vbProcedure="false">'ТС. Т-ТЭ | индикат'!$58:$60</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Т-гор.вода'!$95:$96</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Т-транс'!$57:$58</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NOTE_R_TARIFF_H" vbProcedure="false">'ТС. Т-подкл(инд)'!$66:$68</definedName>
    <definedName function="false" hidden="false" name="BLOCK_NOTE_R_TARIFF_I" vbProcedure="false">'ТС. Т-ТЭ | предел'!$61:$64</definedName>
    <definedName function="false" hidden="false" name="BLOCK_NOTE_R_TARIFF_I_1" vbProcedure="false">'ТС. Т-ТЭ | индикат'!$61:$64</definedName>
    <definedName function="false" hidden="false" name="BLOCK_NOT_ROIV_INDICATORS_1" vbProcedure="false">Титульный!$37:$37</definedName>
    <definedName function="false" hidden="false" name="BLOCK_NOT_ROIV_INDICATORS_2" vbProcedure="false">Титульный!$38:$39</definedName>
    <definedName function="false" hidden="false" name="BLOCK_NOT_ROIV_INDICATORS_3" vbProcedure="false">Титульный!$63:$65</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тарифов'!$74:$98</definedName>
    <definedName function="false" hidden="false" name="BLOCK_PT_HEAT" vbProcedure="false">'Перечень тарифов'!$13:$72</definedName>
    <definedName function="false" hidden="false" name="BLOCK_PT_HOTVSNA" vbProcedure="false">'Перечень тарифов'!$100:$120</definedName>
    <definedName function="false" hidden="false" name="BLOCK_PT_VOTV" vbProcedure="false">'Перечень тарифов'!$122:$136</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P_TARIFF_H" vbProcedure="false">'ТС. Т-подкл(инд)'!$29:$33</definedName>
    <definedName function="false" hidden="false" name="BLOCK_TABLE_P_TARIFF_I" vbProcedure="false">'ТС. Т-ТЭ | предел'!$28:$32</definedName>
    <definedName function="false" hidden="false" name="BLOCK_TABLE_P_TARIFF_I_1" vbProcedure="false">'ТС. Т-ТЭ | индикат'!$28:$32</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ABLE_R_TARIFF_H" vbProcedure="false">'ТС. Т-подкл(инд)'!$34:$36</definedName>
    <definedName function="false" hidden="false" name="BLOCK_TABLE_R_TARIFF_I" vbProcedure="false">'ТС. Т-ТЭ | предел'!$33:$35</definedName>
    <definedName function="false" hidden="false" name="BLOCK_TABLE_R_TARIFF_I_1" vbProcedure="false">'ТС. Т-ТЭ | индикат'!$33:$35</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&gt;20%'!$D$13:$S$23</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FLAG_FHD" vbProcedure="false">'Показатели ФХД &gt;20%'!$V$11:$V$23</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ФХД'!$L$66</definedName>
    <definedName function="false" hidden="false" name="B_FHD_CHECK_INDEX_2" vbProcedure="false">'Показатели ФХД'!$L$68</definedName>
    <definedName function="false" hidden="false" name="B_FHD_COSTS_INDEX_1" vbProcedure="false">'Показатели ФХД'!$H$65:$J$65</definedName>
    <definedName function="false" hidden="false" name="B_FHD_COSTS_INDEX_2" vbProcedure="false">'Показатели ФХД'!$H$67:$J$67</definedName>
    <definedName function="false" hidden="false" name="B_FHD_DATA_TOP80_ACTIVITY" vbProcedure="false">'Показатели ФХД'!$H$81:$J$81</definedName>
    <definedName function="false" hidden="false" name="B_FHD_diff_1" vbProcedure="false">'Показатели ФХД'!$I$25:$I$27</definedName>
    <definedName function="false" hidden="false" name="B_FHD_FLAG_DIFFERENTIATION" vbProcedure="false">'Показатели ФХД'!$H$24:$J$24</definedName>
    <definedName function="false" hidden="false" name="B_FHD_FLAG_INDEX_1" vbProcedure="false">'Показатели ФХД'!$H$66:$J$66</definedName>
    <definedName function="false" hidden="false" name="B_FHD_FLAG_INDEX_2" vbProcedure="false">'Показатели ФХД'!$H$68:$J$68</definedName>
    <definedName function="false" hidden="false" name="B_FHD_TKO_DATA_TOP80_ACTIVITY" vbProcedure="false">'ТКО. Показатели ФХД'!$H$43:$J$43</definedName>
    <definedName function="false" hidden="false" name="B_FHD_TKO_diff_1" vbProcedure="false">'ТКО. Показатели ФХД'!$I$10:$I$12</definedName>
    <definedName function="false" hidden="false" name="B_FHD_TKO_FLAG_DIFFERENTIATION" vbProcedure="false">'ТКО. Показатели ФХД'!$H$9:$J$9</definedName>
    <definedName function="false" hidden="false" name="B_FHD_TKO_TRANS_DATA_TOP80_ACTIVITY" vbProcedure="false">'ТКО. Транс. Показатели ФХД'!$H$35:$J$35</definedName>
    <definedName function="false" hidden="false" name="B_FHD_TKO_TRANS_diff_1" vbProcedure="false">'ТКО. Транс. Показатели ФХД'!$I$10:$I$12</definedName>
    <definedName function="false" hidden="false" name="B_FHD_TKO_TRANS_FLAG_DIFFERENTIATION" vbProcedure="false">'ТКО. Транс. Показатели ФХД'!$H$9:$J$9</definedName>
    <definedName function="false" hidden="false" name="B_KNE_diff_1" vbProcedure="false">'Показатели КНЭ'!$I$7:$J$9</definedName>
    <definedName function="false" hidden="false" name="checkCell_List01" vbProcedure="false">'Список территорий'!$E$21:$I$21</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DATA_URL" vbProcedure="false">TEHSHEET!$H$32</definedName>
    <definedName function="false" hidden="false" name="DESCRIPTION_TERRITORY" vbProcedure="false">REESTR_DS!$B$2:$B$4</definedName>
    <definedName function="false" hidden="false" name="DIFFERENTIATION_AREA" vbProcedure="false">Дифференциация!$I$12:$I$16</definedName>
    <definedName function="false" hidden="false" name="DIFFERENTIATION_AREA_ID" vbProcedure="false">Дифференциация!$U$11:$U$17</definedName>
    <definedName function="false" hidden="false" name="DIFFERENTIATION_CheckC" vbProcedure="false">Дифференциация!$D$12:$M$16</definedName>
    <definedName function="false" hidden="false" name="DIFFERENTIATION_fieldMarker" vbProcedure="false">Дифференциация!$W$12:$W$16</definedName>
    <definedName function="false" hidden="false" name="DIFFERENTIATION_ID" vbProcedure="false">TEHSHEET!$E$57</definedName>
    <definedName function="false" hidden="false" name="DIFFERENTIATION_ID_DIFF" vbProcedure="false">Дифференциация!$O$12:$O$16</definedName>
    <definedName function="false" hidden="false" name="DIFFERENTIATION_SYSTEM" vbProcedure="false">Дифференциация!$M$12:$M$16</definedName>
    <definedName function="false" hidden="false" name="DIFFERENTIATION_TARIFF_AREA_ID" vbProcedure="false">'Перечень тарифов'!$Z$12:$Z$138</definedName>
    <definedName function="false" hidden="false" name="DIFFERENTIATION_TARIFF_VD_ID" vbProcedure="false">'Перечень тарифов'!$AB$12:$AB$138</definedName>
    <definedName function="false" hidden="false" name="DIFFERENTIATION_TARIFF_VTAR_ID" vbProcedure="false">'Перечень тарифов'!$AA$12:$AA$138</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Дифференциация!$Q$12:$Q$16</definedName>
    <definedName function="false" hidden="false" name="DIFFERENTIATION_UNMERGE_SYSTEM" vbProcedure="false">Дифференциация!$R$12:$R$16</definedName>
    <definedName function="false" hidden="false" name="DIFFERENTIATION_UNMERGE_VD" vbProcedure="false">Дифференциация!$P$12:$P$16</definedName>
    <definedName function="false" hidden="false" name="DIFFERENTIATION_VD" vbProcedure="false">Дифференциация!$E$12:$E$16</definedName>
    <definedName function="false" hidden="false" name="DIFFERENTIATION_VD_ID" vbProcedure="false">Дифференциация!$V$11:$V$17</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et_union_hor!$115:$123</definedName>
    <definedName function="false" hidden="false" name="et_B_FHD20_1_HEAT" vbProcedure="false">et_union_hor!$127:$135</definedName>
    <definedName function="false" hidden="false" name="et_B_FHD20_1_NOT_HEAT" vbProcedure="false">et_union_hor!$115:$123</definedName>
    <definedName function="false" hidden="false" name="et_B_FHD20_2" vbProcedure="false">et_union_hor!$139:$142</definedName>
    <definedName function="false" hidden="false" name="et_B_FHD20_3" vbProcedure="false">et_union_hor!$147:$148</definedName>
    <definedName function="false" hidden="false" name="et_B_FHD20_4" vbProcedure="false">et_union_hor!$150:$150</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et_union_hor!$H$154:$W$158</definedName>
    <definedName function="false" hidden="false" name="et_DIFFERENTIATION_TARIFF_CS" vbProcedure="false">et_union_hor!$169:$170</definedName>
    <definedName function="false" hidden="false" name="et_DIFFERENTIATION_TARIFF_IST_TE" vbProcedure="false">et_union_hor!$172:$172</definedName>
    <definedName function="false" hidden="false" name="et_DIFFERENTIATION_TARIFF_NOT_COLOR" vbProcedure="false">et_union_hor!$H$194:$W$198</definedName>
    <definedName function="false" hidden="false" name="et_DIFFERENTIATION_TARIFF_NOT_HEAT_COLOR" vbProcedure="false">et_union_hor!$H$176:$W$180</definedName>
    <definedName function="false" hidden="false" name="et_DIFFERENTIATION_TARIFF_NOT_HEAT_CS" vbProcedure="false">et_union_hor!$191:$192</definedName>
    <definedName function="false" hidden="false" name="et_DIFFERENTIATION_TARIFF_NOT_HEAT_NTAR" vbProcedure="false">et_union_hor!$182:$185</definedName>
    <definedName function="false" hidden="false" name="et_DIFFERENTIATION_TARIFF_NOT_HEAT_TER" vbProcedure="false">et_union_hor!$187:$189</definedName>
    <definedName function="false" hidden="false" name="et_DIFFERENTIATION_TARIFF_NOT_HEAT_VTAR" vbProcedure="false">et_union_hor!$176:$180</definedName>
    <definedName function="false" hidden="false" name="et_DIFFERENTIATION_TARIFF_NTAR" vbProcedure="false">et_union_hor!$160:$163</definedName>
    <definedName function="false" hidden="false" name="et_DIFFERENTIATION_TARIFF_TER" vbProcedure="false">et_union_hor!$165:$167</definedName>
    <definedName function="false" hidden="false" name="et_DIFFERENTIATION_TARIFF_VTAR" vbProcedure="false">et_union_hor!$154:$158</definedName>
    <definedName function="false" hidden="false" name="et_DIFFERENTIATION_TKO_CLASS_TKO" vbProcedure="false">et_union_hor!$202:$202</definedName>
    <definedName function="false" hidden="false" name="et_DIFFERENTIATION_TKO_COLOR" vbProcedure="false">et_union_hor!$H$202:$AI$207</definedName>
    <definedName function="false" hidden="false" name="et_DIFFERENTIATION_TKO_NOT_COLOR" vbProcedure="false">et_union_hor!$H$209:$AI$214</definedName>
    <definedName function="false" hidden="false" name="et_DIFFERENTIATION_TKO_NTAR" vbProcedure="false">et_union_hor!$202:$206</definedName>
    <definedName function="false" hidden="false" name="et_DIFFERENTIATION_TKO_TER" vbProcedure="false">et_union_hor!$202:$204</definedName>
    <definedName function="false" hidden="false" name="et_DIFFERENTIATION_TKO_TO" vbProcedure="false">et_union_hor!$202:$205</definedName>
    <definedName function="false" hidden="false" name="et_DIFFERENTIATION_TKO_TYPE_TKO" vbProcedure="false">et_union_hor!$202:$203</definedName>
    <definedName function="false" hidden="false" name="et_DIFFERENTIATION_TKO_VTAR" vbProcedure="false">et_union_hor!$202:$207</definedName>
    <definedName function="false" hidden="false" name="et_DIFFERENTIATION_VD" vbProcedure="false">et_union_hor!$23:$25</definedName>
    <definedName function="false" hidden="false" name="et_ED" vbProcedure="false">et_union_hor!$64:$64</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EAT_TARIFF_H_CS" vbProcedure="false">'ТС. Т-подкл(инд)'!$4:$15</definedName>
    <definedName function="false" hidden="false" name="et_HEAT_TARIFF_H_DIAMETERS" vbProcedure="false">'ТС. Т-подкл(инд)'!$8:$8</definedName>
    <definedName function="false" hidden="false" name="et_HEAT_TARIFF_H_GC" vbProcedure="false">'ТС. Т-подкл(инд)'!$7:$12</definedName>
    <definedName function="false" hidden="false" name="et_HEAT_TARIFF_H_IST_TE" vbProcedure="false">'ТС. Т-подкл(инд)'!$5:$14</definedName>
    <definedName function="false" hidden="false" name="et_HEAT_TARIFF_H_LOAD" vbProcedure="false">'ТС. Т-подкл(инд)'!$8:$10</definedName>
    <definedName function="false" hidden="false" name="et_HEAT_TARIFF_H_NETS" vbProcedure="false">'ТС. Т-подкл(инд)'!$8:$9</definedName>
    <definedName function="false" hidden="false" name="et_HEAT_TARIFF_H_NTAR" vbProcedure="false">'ТС. Т-подкл(инд)'!$2:$17</definedName>
    <definedName function="false" hidden="false" name="et_HEAT_TARIFF_H_PERIOD_COLOR" vbProcedure="false">'ТС. Т-подкл(инд)'!$AD$8:$AI$8</definedName>
    <definedName function="false" hidden="false" name="et_HEAT_TARIFF_H_PERIOD_NOT_COLOR" vbProcedure="false">'ТС. Т-подкл(инд)'!$AD$19:$AI$19</definedName>
    <definedName function="false" hidden="false" name="et_HEAT_TARIFF_H_SCHEME" vbProcedure="false">'ТС. Т-подкл(инд)'!$6:$13</definedName>
    <definedName function="false" hidden="false" name="et_HEAT_TARIFF_H_TER" vbProcedure="false">'ТС. Т-подкл(инд)'!$3:$16</definedName>
    <definedName function="false" hidden="false" name="et_HEAT_TARIFF_H_TN" vbProcedure="false">'ТС. Т-подкл(инд)'!$8:$11</definedName>
    <definedName function="false" hidden="false" name="et_HEAT_TARIFF_I_1_CS" vbProcedure="false">'ТС. Т-ТЭ | индикат'!$4:$13</definedName>
    <definedName function="false" hidden="false" name="et_HEAT_TARIFF_I_1_GC" vbProcedure="false">'ТС. Т-ТЭ | индикат'!$7:$10</definedName>
    <definedName function="false" hidden="false" name="et_HEAT_TARIFF_I_1_IST_TE" vbProcedure="false">'ТС. Т-ТЭ | индикат'!$5:$12</definedName>
    <definedName function="false" hidden="false" name="et_HEAT_TARIFF_I_1_NTAR" vbProcedure="false">'ТС. Т-ТЭ | индикат'!$2:$15</definedName>
    <definedName function="false" hidden="false" name="et_HEAT_TARIFF_I_1_PERIOD_COLOR" vbProcedure="false">'ТС. Т-ТЭ | индикат'!$AD$8:$AK$9</definedName>
    <definedName function="false" hidden="false" name="et_HEAT_TARIFF_I_1_PERIOD_NOT_COLOR" vbProcedure="false">'ТС. Т-ТЭ | индикат'!$AD$17:$AK$18</definedName>
    <definedName function="false" hidden="false" name="et_HEAT_TARIFF_I_1_SCHEME" vbProcedure="false">'ТС. Т-ТЭ | индикат'!$6:$11</definedName>
    <definedName function="false" hidden="false" name="et_HEAT_TARIFF_I_1_TER" vbProcedure="false">'ТС. Т-ТЭ | индикат'!$3:$14</definedName>
    <definedName function="false" hidden="false" name="et_HEAT_TARIFF_I_1_TN" vbProcedure="false">'ТС. Т-ТЭ | индикат'!$8:$9</definedName>
    <definedName function="false" hidden="false" name="et_HEAT_TARIFF_I_CS" vbProcedure="false">'ТС. Т-ТЭ | предел'!$4:$13</definedName>
    <definedName function="false" hidden="false" name="et_HEAT_TARIFF_I_GC" vbProcedure="false">'ТС. Т-ТЭ | предел'!$7:$10</definedName>
    <definedName function="false" hidden="false" name="et_HEAT_TARIFF_I_IST_TE" vbProcedure="false">'ТС. Т-ТЭ | предел'!$5:$12</definedName>
    <definedName function="false" hidden="false" name="et_HEAT_TARIFF_I_NTAR" vbProcedure="false">'ТС. Т-ТЭ | предел'!$2:$15</definedName>
    <definedName function="false" hidden="false" name="et_HEAT_TARIFF_I_PERIOD_COLOR" vbProcedure="false">'ТС. Т-ТЭ | предел'!$AD$8:$AK$9</definedName>
    <definedName function="false" hidden="false" name="et_HEAT_TARIFF_I_PERIOD_NOT_COLOR" vbProcedure="false">'ТС. Т-ТЭ | предел'!$AD$17:$AK$18</definedName>
    <definedName function="false" hidden="false" name="et_HEAT_TARIFF_I_SCHEME" vbProcedure="false">'ТС. Т-ТЭ | предел'!$6:$11</definedName>
    <definedName function="false" hidden="false" name="et_HEAT_TARIFF_I_TER" vbProcedure="false">'ТС. Т-ТЭ | предел'!$3:$14</definedName>
    <definedName function="false" hidden="false" name="et_HEAT_TARIFF_I_TN" vbProcedure="false">'ТС. Т-ТЭ | предел'!$8:$9</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Т-гор.вода'!$AG$7:$AQ$8</definedName>
    <definedName function="false" hidden="false" name="et_HOTVSNA_TARIFF_A_HOTVSNA_PERIOD_NOT_COLOR" vbProcedure="false">'ГВС. Т-гор.вода'!$AG$15:$AQ$16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Т-транс'!$AG$7:$AQ$8</definedName>
    <definedName function="false" hidden="false" name="et_HOTVSNA_TARIFF_B_HOTVSNA_PERIOD_NOT_COLOR" vbProcedure="false">'ГВС. Т-транс'!$AG$15:$AQ$16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et_union_hor!$81:$87</definedName>
    <definedName function="false" hidden="false" name="et_IP_DETAILED_EVENT" vbProcedure="false">et_union_hor!$101:$105</definedName>
    <definedName function="false" hidden="false" name="et_IP_DETAILED_IST_FIN" vbProcedure="false">et_union_hor!$97:$97</definedName>
    <definedName function="false" hidden="false" name="et_IP_DETAILED_OBJECT" vbProcedure="false">et_union_hor!$91:$93</definedName>
    <definedName function="false" hidden="false" name="et_IP_DETAILED_YEAR" vbProcedure="false">et_union_hor!$82:$87</definedName>
    <definedName function="false" hidden="false" name="et_IP_MAIN" vbProcedure="false">et_union_hor!$72:$73</definedName>
    <definedName function="false" hidden="false" name="et_IP_MAIN_PROPERTY" vbProcedure="false">et_union_hor!$77:$77</definedName>
    <definedName function="false" hidden="false" name="et_IP_QRE" vbProcedure="false">et_union_hor!$109:$111</definedName>
    <definedName function="false" hidden="false" name="et_IP_QRE_CLAIM" vbProcedure="false">et_union_hor!$110:$110</definedName>
    <definedName function="false" hidden="false" name="et_List02" vbProcedure="false">et_union_hor!$154:$158</definedName>
    <definedName function="false" hidden="false" name="et_List02_1_wd" vbProcedure="false">et_union_hor!$194:$197</definedName>
    <definedName function="false" hidden="false" name="et_List02_2_wd" vbProcedure="false">et_union_hor!$194:$196</definedName>
    <definedName function="false" hidden="false" name="et_List02_3_wd" vbProcedure="false">et_union_hor!$194:$195</definedName>
    <definedName function="false" hidden="false" name="et_List02_4_wd" vbProcedure="false">et_union_hor!$194:$194</definedName>
    <definedName function="false" hidden="false" name="et_List02_changeColor_1" vbProcedure="false">et_union_hor!$J$154:$J$157</definedName>
    <definedName function="false" hidden="false" name="et_List02_changeColor_1_wd" vbProcedure="false">et_union_hor!$J$194:$J$197</definedName>
    <definedName function="false" hidden="false" name="et_List02_changeColor_2" vbProcedure="false">et_union_hor!$N$154:$N$156</definedName>
    <definedName function="false" hidden="false" name="et_List02_changeColor_2_wd" vbProcedure="false">et_union_hor!$N$194:$N$196</definedName>
    <definedName function="false" hidden="false" name="et_List02_changeColor_3" vbProcedure="false">et_union_hor!$R$154:$R$155</definedName>
    <definedName function="false" hidden="false" name="et_List02_changeColor_3_wd" vbProcedure="false">et_union_hor!$R$194:$R$195</definedName>
    <definedName function="false" hidden="false" name="et_List02_changeColor_4" vbProcedure="false">et_union_hor!$V$154</definedName>
    <definedName function="false" hidden="false" name="et_List02_changeColor_4_wd" vbProcedure="false">et_union_hor!$V$194</definedName>
    <definedName function="false" hidden="false" name="et_List02_wd" vbProcedure="false">et_union_hor!$194:$198</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INFO_3" vbProcedure="false">et_union_hor!$47:$51</definedName>
    <definedName function="false" hidden="false" name="et_ORG_TERRITORY_MO" vbProcedure="false">et_union_hor!$56:$56</definedName>
    <definedName function="false" hidden="false" name="et_ORG_TERRITORY_MO_FLAG_INTERNET" vbProcedure="false">et_union_hor!$J$56</definedName>
    <definedName function="false" hidden="false" name="et_ORG_TERRITORY_MO_LINK" vbProcedure="false">et_union_hor!$K$56</definedName>
    <definedName function="false" hidden="false" name="et_ORG_VD" vbProcedure="false">et_union_hor!$60:$60</definedName>
    <definedName function="false" hidden="false" name="et_ORG_VD_COLDVSNA" vbProcedure="false">et_union_hor!$X$60:$Z$60</definedName>
    <definedName function="false" hidden="false" name="et_ORG_VD_FIRST_SYSTEM" vbProcedure="false">et_union_hor!$E$60</definedName>
    <definedName function="false" hidden="false" name="et_ORG_VD_HEAT" vbProcedure="false">et_union_hor!$H$60:$R$60</definedName>
    <definedName function="false" hidden="false" name="et_ORG_VD_HOTVSNA" vbProcedure="false">et_union_hor!$AB$60:$AC$60</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et_union_hor!$T$60:$V$60</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et_union_hor!$68:$68</definedName>
    <definedName function="false" hidden="false" name="et_QRE" vbProcedure="false">et_union_hor!$109:$111</definedName>
    <definedName function="false" hidden="false" name="et_QRE_CLAIM" vbProcedure="false">et_union_hor!$110:$110</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CASE_PUC_case" vbProcedure="false">'Дела об утверждении ПУЦ'!$2:$2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ответственности'!$5:$5</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et_union_hor!$68:$68</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EAT_TARIFF_H" vbProcedure="false">'ТС. Т-подкл(инд)'!$V:$AA</definedName>
    <definedName function="false" hidden="false" name="et_ver_HEAT_TARIFF_I" vbProcedure="false">'ТС. Т-ТЭ | предел'!$V:$AC</definedName>
    <definedName function="false" hidden="false" name="et_ver_HEAT_TARIFF_I_1" vbProcedure="false">'ТС. Т-ТЭ | индикат'!$V:$AC</definedName>
    <definedName function="false" hidden="false" name="et_ver_HOTVSNA_TARIFF_A_HOTVSNA" vbProcedure="false">'ГВС. Т-гор.вода'!$V:$AF</definedName>
    <definedName function="false" hidden="false" name="et_ver_HOTVSNA_TARIFF_B_HOTVSNA" vbProcedure="false">'ГВС. Т-транс'!$V:$AF</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lag_Q_LIMIT_p3" vbProcedure="false">Ограничения!$F$36:$K$36</definedName>
    <definedName function="false" hidden="false" name="flag_Q_LIMIT_p4" vbProcedure="false">Ограничения!$F$38:$K$38</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EAT_TARIFF_H_ADD_HL_COLUMN_MARKER" vbProcedure="false">'ТС. Т-подкл(инд)'!$T$37</definedName>
    <definedName function="false" hidden="false" name="HEAT_TARIFF_H_ADD_HL_DIAMETERS_COLUMN_MARKER" vbProcedure="false">'ТС. Т-подкл(инд)'!$AO$37</definedName>
    <definedName function="false" hidden="false" name="HEAT_TARIFF_H_ADD_HL_LOAD_COLUMN_MARKER" vbProcedure="false">'ТС. Т-подкл(инд)'!$AM$37</definedName>
    <definedName function="false" hidden="false" name="HEAT_TARIFF_H_ADD_HL_NETS_COLUMN_MARKER" vbProcedure="false">'ТС. Т-подкл(инд)'!$AN$37</definedName>
    <definedName function="false" hidden="false" name="HEAT_TARIFF_H_DELETE_PERIOD_ROW_MARKER" vbProcedure="false">'ТС. Т-подкл(инд)'!$O$38</definedName>
    <definedName function="false" hidden="false" name="HEAT_TARIFF_H_DEL_HL_DIAMETERS_COLUMN_MARKER" vbProcedure="false">'ТС. Т-подкл(инд)'!$AO$37</definedName>
    <definedName function="false" hidden="false" name="HEAT_TARIFF_H_DEL_HL_GC_COLUMN_MARKER" vbProcedure="false">'ТС. Т-подкл(инд)'!$Q$37</definedName>
    <definedName function="false" hidden="false" name="HEAT_TARIFF_H_DEL_HL_LOAD_COLUMN_MARKER" vbProcedure="false">'ТС. Т-подкл(инд)'!$AM$37</definedName>
    <definedName function="false" hidden="false" name="HEAT_TARIFF_H_DEL_HL_NETS_COLUMN_MARKER" vbProcedure="false">'ТС. Т-подкл(инд)'!$AN$37</definedName>
    <definedName function="false" hidden="false" name="HEAT_TARIFF_H_DEL_HL_SCHEME_COLUMN_MARKER" vbProcedure="false">'ТС. Т-подкл(инд)'!$P$37</definedName>
    <definedName function="false" hidden="false" name="HEAT_TARIFF_H_DEL_HL_TN_COLUMN_MARKER" vbProcedure="false">'ТС. Т-подкл(инд)'!$R$37</definedName>
    <definedName function="false" hidden="false" name="HEAT_TARIFF_H_FLAG_BLOCK_COLUMN_MARKER" vbProcedure="false">'ТС. Т-подкл(инд)'!$L$43</definedName>
    <definedName function="false" hidden="false" name="HEAT_TARIFF_H_FLAG_BLOCK_ROW_MARKER" vbProcedure="false">'ТС. Т-подкл(инд)'!$O$23</definedName>
    <definedName function="false" hidden="false" name="HEAT_TARIFF_H_NUM_CS_COLUMN_MARKER" vbProcedure="false">'ТС. Т-подкл(инд)'!$G$43</definedName>
    <definedName function="false" hidden="false" name="HEAT_TARIFF_H_NUM_DIAMETERS_COLUMN_MARKER" vbProcedure="false">'ТС. Т-подкл(инд)'!$AO$37</definedName>
    <definedName function="false" hidden="false" name="HEAT_TARIFF_H_NUM_GC_COLUMN_MARKER" vbProcedure="false">'ТС. Т-подкл(инд)'!$J$43</definedName>
    <definedName function="false" hidden="false" name="HEAT_TARIFF_H_NUM_IST_TE_COLUMN_MARKER" vbProcedure="false">'ТС. Т-подкл(инд)'!$H$43</definedName>
    <definedName function="false" hidden="false" name="HEAT_TARIFF_H_NUM_LOAD_COLUMN_MARKER" vbProcedure="false">'ТС. Т-подкл(инд)'!$AM$37</definedName>
    <definedName function="false" hidden="false" name="HEAT_TARIFF_H_NUM_NETS_COLUMN_MARKER" vbProcedure="false">'ТС. Т-подкл(инд)'!$AN$37</definedName>
    <definedName function="false" hidden="false" name="HEAT_TARIFF_H_NUM_NTAR_COLUMN_MARKER" vbProcedure="false">'ТС. Т-подкл(инд)'!$E$43</definedName>
    <definedName function="false" hidden="false" name="HEAT_TARIFF_H_NUM_SCHEME_COLUMN_MARKER" vbProcedure="false">'ТС. Т-подкл(инд)'!$I$43</definedName>
    <definedName function="false" hidden="false" name="HEAT_TARIFF_H_NUM_TER_COLUMN_MARKER" vbProcedure="false">'ТС. Т-подкл(инд)'!$F$43</definedName>
    <definedName function="false" hidden="false" name="HEAT_TARIFF_H_NUM_TN_COLUMN_MARKER" vbProcedure="false">'ТС. Т-подкл(инд)'!$K$43</definedName>
    <definedName function="false" hidden="false" name="HEAT_TARIFF_I_1_ADD_HL_COLUMN_MARKER" vbProcedure="false">'ТС. Т-ТЭ | индикат'!$T$36</definedName>
    <definedName function="false" hidden="false" name="HEAT_TARIFF_I_1_DELETE_PERIOD_ROW_MARKER" vbProcedure="false">'ТС. Т-ТЭ | индикат'!$O$37</definedName>
    <definedName function="false" hidden="false" name="HEAT_TARIFF_I_1_DEL_HL_GC_COLUMN_MARKER" vbProcedure="false">'ТС. Т-ТЭ | индикат'!$Q$36</definedName>
    <definedName function="false" hidden="false" name="HEAT_TARIFF_I_1_DEL_HL_SCHEME_COLUMN_MARKER" vbProcedure="false">'ТС. Т-ТЭ | индикат'!$P$36</definedName>
    <definedName function="false" hidden="false" name="HEAT_TARIFF_I_1_DEL_HL_TN_COLUMN_MARKER" vbProcedure="false">'ТС. Т-ТЭ | индикат'!$R$36</definedName>
    <definedName function="false" hidden="false" name="HEAT_TARIFF_I_1_FLAG_BLOCK_COLUMN_MARKER" vbProcedure="false">'ТС. Т-ТЭ | индикат'!$L$41</definedName>
    <definedName function="false" hidden="false" name="HEAT_TARIFF_I_1_FLAG_BLOCK_ROW_MARKER" vbProcedure="false">'ТС. Т-ТЭ | индикат'!$O$22</definedName>
    <definedName function="false" hidden="false" name="HEAT_TARIFF_I_1_NUM_CS_COLUMN_MARKER" vbProcedure="false">'ТС. Т-ТЭ | индикат'!$G$41</definedName>
    <definedName function="false" hidden="false" name="HEAT_TARIFF_I_1_NUM_GC_COLUMN_MARKER" vbProcedure="false">'ТС. Т-ТЭ | индикат'!$J$41</definedName>
    <definedName function="false" hidden="false" name="HEAT_TARIFF_I_1_NUM_IST_TE_COLUMN_MARKER" vbProcedure="false">'ТС. Т-ТЭ | индикат'!$H$41</definedName>
    <definedName function="false" hidden="false" name="HEAT_TARIFF_I_1_NUM_NTAR_COLUMN_MARKER" vbProcedure="false">'ТС. Т-ТЭ | индикат'!$E$41</definedName>
    <definedName function="false" hidden="false" name="HEAT_TARIFF_I_1_NUM_SCHEME_COLUMN_MARKER" vbProcedure="false">'ТС. Т-ТЭ | индикат'!$I$41</definedName>
    <definedName function="false" hidden="false" name="HEAT_TARIFF_I_1_NUM_TER_COLUMN_MARKER" vbProcedure="false">'ТС. Т-ТЭ | индикат'!$F$41</definedName>
    <definedName function="false" hidden="false" name="HEAT_TARIFF_I_1_NUM_TN_COLUMN_MARKER" vbProcedure="false">'ТС. Т-ТЭ | индикат'!$K$41</definedName>
    <definedName function="false" hidden="false" name="HEAT_TARIFF_I_ADD_HL_COLUMN_MARKER" vbProcedure="false">'ТС. Т-ТЭ | предел'!$T$36</definedName>
    <definedName function="false" hidden="false" name="HEAT_TARIFF_I_DELETE_PERIOD_ROW_MARKER" vbProcedure="false">'ТС. Т-ТЭ | предел'!$O$37</definedName>
    <definedName function="false" hidden="false" name="HEAT_TARIFF_I_DEL_HL_GC_COLUMN_MARKER" vbProcedure="false">'ТС. Т-ТЭ | предел'!$Q$36</definedName>
    <definedName function="false" hidden="false" name="HEAT_TARIFF_I_DEL_HL_SCHEME_COLUMN_MARKER" vbProcedure="false">'ТС. Т-ТЭ | предел'!$P$36</definedName>
    <definedName function="false" hidden="false" name="HEAT_TARIFF_I_DEL_HL_TN_COLUMN_MARKER" vbProcedure="false">'ТС. Т-ТЭ | предел'!$R$36</definedName>
    <definedName function="false" hidden="false" name="HEAT_TARIFF_I_FLAG_BLOCK_COLUMN_MARKER" vbProcedure="false">'ТС. Т-ТЭ | предел'!$L$41</definedName>
    <definedName function="false" hidden="false" name="HEAT_TARIFF_I_FLAG_BLOCK_ROW_MARKER" vbProcedure="false">'ТС. Т-ТЭ | предел'!$O$22</definedName>
    <definedName function="false" hidden="false" name="HEAT_TARIFF_I_NUM_CS_COLUMN_MARKER" vbProcedure="false">'ТС. Т-ТЭ | предел'!$G$41</definedName>
    <definedName function="false" hidden="false" name="HEAT_TARIFF_I_NUM_GC_COLUMN_MARKER" vbProcedure="false">'ТС. Т-ТЭ | предел'!$J$41</definedName>
    <definedName function="false" hidden="false" name="HEAT_TARIFF_I_NUM_IST_TE_COLUMN_MARKER" vbProcedure="false">'ТС. Т-ТЭ | предел'!$H$41</definedName>
    <definedName function="false" hidden="false" name="HEAT_TARIFF_I_NUM_NTAR_COLUMN_MARKER" vbProcedure="false">'ТС. Т-ТЭ | предел'!$E$41</definedName>
    <definedName function="false" hidden="false" name="HEAT_TARIFF_I_NUM_SCHEME_COLUMN_MARKER" vbProcedure="false">'ТС. Т-ТЭ | предел'!$I$41</definedName>
    <definedName function="false" hidden="false" name="HEAT_TARIFF_I_NUM_TER_COLUMN_MARKER" vbProcedure="false">'ТС. Т-ТЭ | предел'!$F$41</definedName>
    <definedName function="false" hidden="false" name="HEAT_TARIFF_I_NUM_TN_COLUMN_MARKER" vbProcedure="false">'ТС. Т-ТЭ | предел'!$K$41</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PR_IP_NAME" vbProcedure="false">ИП!$Q$11:$Q$13</definedName>
    <definedName function="false" hidden="false" name="IP_MAIN_PR_IP_NUMBER" vbProcedure="false">ИП!$S$11:$S$13</definedName>
    <definedName function="false" hidden="false" name="IP_MAIN_PR_IP_TYPE" vbProcedure="false">ИП!$R$11:$R$13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TEHSHEET!$H$2:$H$8</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Предложение!$L$82</definedName>
    <definedName function="false" hidden="false" name="OFFER_METHOD" vbProcedure="false">Предложение!$K$24:$K$80</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Предложение!$84:$86</definedName>
    <definedName function="false" hidden="false" name="OFFER_TARIFF_A_3" vbProcedure="false">Предложение!$142:$144</definedName>
    <definedName function="false" hidden="false" name="OFFER_TARIFF_A_4" vbProcedure="false">Предложение!$200:$202</definedName>
    <definedName function="false" hidden="false" name="OFFER_TARIFF_A_5" vbProcedure="false">Предложение!$258:$260</definedName>
    <definedName function="false" hidden="false" name="OFFER_TARIFF_A_COLDVSNA_1" vbProcedure="false">Предложение!$48:$50</definedName>
    <definedName function="false" hidden="false" name="OFFER_TARIFF_A_COLDVSNA_2" vbProcedure="false">Предложение!$108:$110</definedName>
    <definedName function="false" hidden="false" name="OFFER_TARIFF_A_COLDVSNA_3" vbProcedure="false">Предложение!$166:$168</definedName>
    <definedName function="false" hidden="false" name="OFFER_TARIFF_A_COLDVSNA_4" vbProcedure="false">Предложение!$224:$226</definedName>
    <definedName function="false" hidden="false" name="OFFER_TARIFF_A_COLDVSNA_5" vbProcedure="false">Предложение!$282:$284</definedName>
    <definedName function="false" hidden="false" name="OFFER_TARIFF_A_HOTVSNA_1" vbProcedure="false">Предложение!$63:$65</definedName>
    <definedName function="false" hidden="false" name="OFFER_TARIFF_A_HOTVSNA_2" vbProcedure="false">Предложение!$123:$125</definedName>
    <definedName function="false" hidden="false" name="OFFER_TARIFF_A_HOTVSNA_3" vbProcedure="false">Предложение!$181:$183</definedName>
    <definedName function="false" hidden="false" name="OFFER_TARIFF_A_HOTVSNA_4" vbProcedure="false">Предложение!$239:$241</definedName>
    <definedName function="false" hidden="false" name="OFFER_TARIFF_A_HOTVSNA_5" vbProcedure="false">Предложение!$297:$299</definedName>
    <definedName function="false" hidden="false" name="OFFER_TARIFF_A_VOTV_1" vbProcedure="false">Предложение!$72:$74</definedName>
    <definedName function="false" hidden="false" name="OFFER_TARIFF_A_VOTV_2" vbProcedure="false">Предложение!$132:$134</definedName>
    <definedName function="false" hidden="false" name="OFFER_TARIFF_A_VOTV_3" vbProcedure="false">Предложение!$190:$192</definedName>
    <definedName function="false" hidden="false" name="OFFER_TARIFF_A_VOTV_4" vbProcedure="false">Предложение!$248:$250</definedName>
    <definedName function="false" hidden="false" name="OFFER_TARIFF_A_VOTV_5" vbProcedure="false">Предложение!$306:$308</definedName>
    <definedName function="false" hidden="false" name="OFFER_TARIFF_B_1" vbProcedure="false">Предложение!$27:$29</definedName>
    <definedName function="false" hidden="false" name="OFFER_TARIFF_B_2" vbProcedure="false">Предложение!$87:$89</definedName>
    <definedName function="false" hidden="false" name="OFFER_TARIFF_B_3" vbProcedure="false">Предложение!$145:$147</definedName>
    <definedName function="false" hidden="false" name="OFFER_TARIFF_B_4" vbProcedure="false">Предложение!$203:$205</definedName>
    <definedName function="false" hidden="false" name="OFFER_TARIFF_B_5" vbProcedure="false">Предложение!$261:$263</definedName>
    <definedName function="false" hidden="false" name="OFFER_TARIFF_B_COLDVSNA_1" vbProcedure="false">Предложение!$51:$53</definedName>
    <definedName function="false" hidden="false" name="OFFER_TARIFF_B_COLDVSNA_2" vbProcedure="false">Предложение!$111:$113</definedName>
    <definedName function="false" hidden="false" name="OFFER_TARIFF_B_COLDVSNA_3" vbProcedure="false">Предложение!$169:$171</definedName>
    <definedName function="false" hidden="false" name="OFFER_TARIFF_B_COLDVSNA_4" vbProcedure="false">Предложение!$227:$229</definedName>
    <definedName function="false" hidden="false" name="OFFER_TARIFF_B_COLDVSNA_5" vbProcedure="false">Предложение!$285:$287</definedName>
    <definedName function="false" hidden="false" name="OFFER_TARIFF_B_HOTVSNA_1" vbProcedure="false">Предложение!$66:$68</definedName>
    <definedName function="false" hidden="false" name="OFFER_TARIFF_B_HOTVSNA_2" vbProcedure="false">Предложение!$126:$128</definedName>
    <definedName function="false" hidden="false" name="OFFER_TARIFF_B_HOTVSNA_3" vbProcedure="false">Предложение!$184:$186</definedName>
    <definedName function="false" hidden="false" name="OFFER_TARIFF_B_HOTVSNA_4" vbProcedure="false">Предложение!$242:$244</definedName>
    <definedName function="false" hidden="false" name="OFFER_TARIFF_B_HOTVSNA_5" vbProcedure="false">Предложение!$300:$302</definedName>
    <definedName function="false" hidden="false" name="OFFER_TARIFF_B_VOTV_1" vbProcedure="false">Предложение!$75:$77</definedName>
    <definedName function="false" hidden="false" name="OFFER_TARIFF_B_VOTV_2" vbProcedure="false">Предложение!$135:$137</definedName>
    <definedName function="false" hidden="false" name="OFFER_TARIFF_B_VOTV_3" vbProcedure="false">Предложение!$193:$195</definedName>
    <definedName function="false" hidden="false" name="OFFER_TARIFF_B_VOTV_4" vbProcedure="false">Предложение!$251:$253</definedName>
    <definedName function="false" hidden="false" name="OFFER_TARIFF_B_VOTV_5" vbProcedure="false">Предложение!$309:$311</definedName>
    <definedName function="false" hidden="false" name="OFFER_TARIFF_C_1" vbProcedure="false">Предложение!$30:$32</definedName>
    <definedName function="false" hidden="false" name="OFFER_TARIFF_C_2" vbProcedure="false">Предложение!$90:$92</definedName>
    <definedName function="false" hidden="false" name="OFFER_TARIFF_C_3" vbProcedure="false">Предложение!$148:$150</definedName>
    <definedName function="false" hidden="false" name="OFFER_TARIFF_C_4" vbProcedure="false">Предложение!$206:$208</definedName>
    <definedName function="false" hidden="false" name="OFFER_TARIFF_C_5" vbProcedure="false">Предложение!$264:$266</definedName>
    <definedName function="false" hidden="false" name="OFFER_TARIFF_C_COLDVSNA_1" vbProcedure="false">Предложение!$54:$56</definedName>
    <definedName function="false" hidden="false" name="OFFER_TARIFF_C_COLDVSNA_2" vbProcedure="false">Предложение!$114:$116</definedName>
    <definedName function="false" hidden="false" name="OFFER_TARIFF_C_COLDVSNA_3" vbProcedure="false">Предложение!$172:$174</definedName>
    <definedName function="false" hidden="false" name="OFFER_TARIFF_C_COLDVSNA_4" vbProcedure="false">Предложение!$230:$232</definedName>
    <definedName function="false" hidden="false" name="OFFER_TARIFF_C_COLDVSNA_5" vbProcedure="false">Предложение!$288:$290</definedName>
    <definedName function="false" hidden="false" name="OFFER_TARIFF_C_HOTVSNA_1" vbProcedure="false">Предложение!$69:$71</definedName>
    <definedName function="false" hidden="false" name="OFFER_TARIFF_C_HOTVSNA_2" vbProcedure="false">Предложение!$129:$131</definedName>
    <definedName function="false" hidden="false" name="OFFER_TARIFF_C_HOTVSNA_3" vbProcedure="false">Предложение!$187:$189</definedName>
    <definedName function="false" hidden="false" name="OFFER_TARIFF_C_HOTVSNA_4" vbProcedure="false">Предложение!$245:$247</definedName>
    <definedName function="false" hidden="false" name="OFFER_TARIFF_C_HOTVSNA_5" vbProcedure="false">Предложение!$303:$305</definedName>
    <definedName function="false" hidden="false" name="OFFER_TARIFF_C_VOTV_1" vbProcedure="false">Предложение!$78:$80</definedName>
    <definedName function="false" hidden="false" name="OFFER_TARIFF_C_VOTV_2" vbProcedure="false">Предложение!$138:$140</definedName>
    <definedName function="false" hidden="false" name="OFFER_TARIFF_C_VOTV_3" vbProcedure="false">Предложение!$196:$198</definedName>
    <definedName function="false" hidden="false" name="OFFER_TARIFF_C_VOTV_4" vbProcedure="false">Предложение!$254:$256</definedName>
    <definedName function="false" hidden="false" name="OFFER_TARIFF_C_VOTV_5" vbProcedure="false">Предложение!$312:$314</definedName>
    <definedName function="false" hidden="false" name="OFFER_TARIFF_D_1" vbProcedure="false">Предложение!$33:$35</definedName>
    <definedName function="false" hidden="false" name="OFFER_TARIFF_D_2" vbProcedure="false">Предложение!$93:$95</definedName>
    <definedName function="false" hidden="false" name="OFFER_TARIFF_D_3" vbProcedure="false">Предложение!$151:$153</definedName>
    <definedName function="false" hidden="false" name="OFFER_TARIFF_D_4" vbProcedure="false">Предложение!$209:$211</definedName>
    <definedName function="false" hidden="false" name="OFFER_TARIFF_D_5" vbProcedure="false">Предложение!$267:$269</definedName>
    <definedName function="false" hidden="false" name="OFFER_TARIFF_D_COLDVSNA_1" vbProcedure="false">Предложение!$57:$59</definedName>
    <definedName function="false" hidden="false" name="OFFER_TARIFF_D_COLDVSNA_2" vbProcedure="false">Предложение!$117:$119</definedName>
    <definedName function="false" hidden="false" name="OFFER_TARIFF_D_COLDVSNA_3" vbProcedure="false">Предложение!$175:$177</definedName>
    <definedName function="false" hidden="false" name="OFFER_TARIFF_D_COLDVSNA_4" vbProcedure="false">Предложение!$233:$235</definedName>
    <definedName function="false" hidden="false" name="OFFER_TARIFF_D_COLDVSNA_5" vbProcedure="false">Предложение!$291:$293</definedName>
    <definedName function="false" hidden="false" name="OFFER_TARIFF_E1_1" vbProcedure="false">Предложение!$36:$38</definedName>
    <definedName function="false" hidden="false" name="OFFER_TARIFF_E1_2" vbProcedure="false">Предложение!$96:$98</definedName>
    <definedName function="false" hidden="false" name="OFFER_TARIFF_E1_3" vbProcedure="false">Предложение!$154:$156</definedName>
    <definedName function="false" hidden="false" name="OFFER_TARIFF_E1_4" vbProcedure="false">Предложение!$212:$214</definedName>
    <definedName function="false" hidden="false" name="OFFER_TARIFF_E1_5" vbProcedure="false">Предложение!$270:$272</definedName>
    <definedName function="false" hidden="false" name="OFFER_TARIFF_E2_1" vbProcedure="false">Предложение!$39:$41</definedName>
    <definedName function="false" hidden="false" name="OFFER_TARIFF_E2_2" vbProcedure="false">Предложение!$99:$101</definedName>
    <definedName function="false" hidden="false" name="OFFER_TARIFF_E2_3" vbProcedure="false">Предложение!$157:$159</definedName>
    <definedName function="false" hidden="false" name="OFFER_TARIFF_E2_4" vbProcedure="false">Предложение!$215:$217</definedName>
    <definedName function="false" hidden="false" name="OFFER_TARIFF_E2_5" vbProcedure="false">Предложение!$273:$275</definedName>
    <definedName function="false" hidden="false" name="OFFER_TARIFF_E_COLDVSNA_1" vbProcedure="false">Предложение!$60:$62</definedName>
    <definedName function="false" hidden="false" name="OFFER_TARIFF_E_COLDVSNA_2" vbProcedure="false">Предложение!$120:$122</definedName>
    <definedName function="false" hidden="false" name="OFFER_TARIFF_E_COLDVSNA_3" vbProcedure="false">Предложение!$178:$180</definedName>
    <definedName function="false" hidden="false" name="OFFER_TARIFF_E_COLDVSNA_4" vbProcedure="false">Предложение!$236:$238</definedName>
    <definedName function="false" hidden="false" name="OFFER_TARIFF_E_COLDVSNA_5" vbProcedure="false">Предложение!$294:$296</definedName>
    <definedName function="false" hidden="false" name="OFFER_TARIFF_F_1" vbProcedure="false">Предложение!$42:$44</definedName>
    <definedName function="false" hidden="false" name="OFFER_TARIFF_F_2" vbProcedure="false">Предложение!$102:$104</definedName>
    <definedName function="false" hidden="false" name="OFFER_TARIFF_F_3" vbProcedure="false">Предложение!$160:$162</definedName>
    <definedName function="false" hidden="false" name="OFFER_TARIFF_F_4" vbProcedure="false">Предложение!$218:$220</definedName>
    <definedName function="false" hidden="false" name="OFFER_TARIFF_F_5" vbProcedure="false">Предложение!$276:$278</definedName>
    <definedName function="false" hidden="false" name="OFFER_TARIFF_G_1" vbProcedure="false">Предложение!$45:$47</definedName>
    <definedName function="false" hidden="false" name="OFFER_TARIFF_G_2" vbProcedure="false">Предложение!$105:$107</definedName>
    <definedName function="false" hidden="false" name="OFFER_TARIFF_G_3" vbProcedure="false">Предложение!$163:$165</definedName>
    <definedName function="false" hidden="false" name="OFFER_TARIFF_G_4" vbProcedure="false">Предложение!$221:$223</definedName>
    <definedName function="false" hidden="false" name="OFFER_TARIFF_G_5" vbProcedure="false">Предложение!$279:$281</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организации'!$F$44</definedName>
    <definedName function="false" hidden="false" name="ORG_INFO_ET" vbProcedure="false">'Общая информация об организации'!$F$20:$F$24</definedName>
    <definedName function="false" hidden="false" name="ORG_INFO_ET_CYAN" vbProcedure="false">'Общая информация об организации'!$F$20:$F$23</definedName>
    <definedName function="false" hidden="false" name="ORG_INFO_FLAG_INVEST" vbProcedure="false">'Общая информация об организации'!$F$51</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организации'!$F$32</definedName>
    <definedName function="false" hidden="false" name="ORG_INFO_URL" vbProcedure="false">'Общая информация об организации'!$F$43</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CHANGE_INFO" vbProcedure="false">'Сведения об изменении'!$C$12:$C$13</definedName>
    <definedName function="false" hidden="false" name="pDel_Comm" vbProcedure="false">Комментарии!$C$11:$C$12</definedName>
    <definedName function="false" hidden="false" name="pDel_DIFFERENTIATION_AREA" vbProcedure="false">Дифференциация!$G$12:$G$16</definedName>
    <definedName function="false" hidden="false" name="pDel_DIFFERENTIATION_SYSTEM" vbProcedure="false">Дифференциация!$K$12:$K$16</definedName>
    <definedName function="false" hidden="false" name="pDel_DIFFERENTIATION_VD" vbProcedure="false">Дифференциация!$C$12:$C$16</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территорий'!$C$12:$C$21</definedName>
    <definedName function="false" hidden="false" name="pDel_LT_MO" vbProcedure="false">'Список территорий'!$D$11:$D$21</definedName>
    <definedName function="false" hidden="false" name="pDel_ORG_INFO" vbProcedure="false">'Общая информация об организации'!$C$40:$C$50</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Q_LIMIT" vbProcedure="false">Ограничения!$C$31</definedName>
    <definedName function="false" hidden="false" name="pDel_Q_TP" vbProcedure="false">ТП!$C$14</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&gt;20%'!$D$23</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ФХД'!$J$24</definedName>
    <definedName function="false" hidden="false" name="pIns_B_FHD_TKO_2" vbProcedure="false">'ТКО. Показатели ФХД'!$F$34</definedName>
    <definedName function="false" hidden="false" name="pIns_B_FHD_TKO_DIFFERENTIATION" vbProcedure="false">'ТКО. Показатели ФХД'!$J$9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ФХД'!$J$9</definedName>
    <definedName function="false" hidden="false" name="pIns_B_KNE_DIFFERENTIATION" vbProcedure="false">'Показатели КНЭ'!$K$6</definedName>
    <definedName function="false" hidden="false" name="pIns_CHANGE_INFO" vbProcedure="false">'Сведения об изменении'!$E$13</definedName>
    <definedName function="false" hidden="false" name="pIns_Comm" vbProcedure="false">Комментарии!$E$12</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территорий'!$G$21</definedName>
    <definedName function="false" hidden="false" name="pIns_ORG_INFO_1" vbProcedure="false">'Общая информация об организации'!$E$42</definedName>
    <definedName function="false" hidden="false" name="pIns_ORG_INFO_2" vbProcedure="false">'Общая информация об организации'!$E$50</definedName>
    <definedName function="false" hidden="false" name="pIns_ORG_INFO_3" vbProcedure="false">'Общая информация об организации'!$E$24</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Предложение!$G$284</definedName>
    <definedName function="false" hidden="false" name="pIns_PT_VTAR_A_COLDVSNA_OFFER_1" vbProcedure="false">Предложение!$G$50</definedName>
    <definedName function="false" hidden="false" name="pIns_PT_VTAR_A_COLDVSNA_OFFER_2" vbProcedure="false">Предложение!$G$110</definedName>
    <definedName function="false" hidden="false" name="pIns_PT_VTAR_A_COLDVSNA_OFFER_3" vbProcedure="false">Предложение!$G$168</definedName>
    <definedName function="false" hidden="false" name="pIns_PT_VTAR_A_COLDVSNA_OFFER_4" vbProcedure="false">Предложение!$G$226</definedName>
    <definedName function="false" hidden="false" name="pIns_PT_VTAR_A_COLDVSNA_OFFER_5" vbProcedure="false">Предложение!$G$284</definedName>
    <definedName function="false" hidden="false" name="pIns_PT_VTAR_A_HOTVSNA" vbProcedure="false">'ГВС. Т-гор.вода'!$T$92</definedName>
    <definedName function="false" hidden="false" name="pIns_PT_VTAR_A_HOTVSNA_OFFER_1" vbProcedure="false">Предложение!$G$65</definedName>
    <definedName function="false" hidden="false" name="pIns_PT_VTAR_A_HOTVSNA_OFFER_2" vbProcedure="false">Предложение!$G$125</definedName>
    <definedName function="false" hidden="false" name="pIns_PT_VTAR_A_HOTVSNA_OFFER_3" vbProcedure="false">Предложение!$G$183</definedName>
    <definedName function="false" hidden="false" name="pIns_PT_VTAR_A_HOTVSNA_OFFER_4" vbProcedure="false">Предложение!$G$241</definedName>
    <definedName function="false" hidden="false" name="pIns_PT_VTAR_A_HOTVSNA_OFFER_5" vbProcedure="false">Предложение!$G$299</definedName>
    <definedName function="false" hidden="false" name="pIns_PT_VTAR_A_OFFER_1" vbProcedure="false">Предложение!$G$26</definedName>
    <definedName function="false" hidden="false" name="pIns_PT_VTAR_A_OFFER_2" vbProcedure="false">Предложение!$G$86</definedName>
    <definedName function="false" hidden="false" name="pIns_PT_VTAR_A_OFFER_3" vbProcedure="false">Предложение!$G$144</definedName>
    <definedName function="false" hidden="false" name="pIns_PT_VTAR_A_OFFER_4" vbProcedure="false">Предложение!$G$202</definedName>
    <definedName function="false" hidden="false" name="pIns_PT_VTAR_A_OFFER_5" vbProcedure="false">Предложение!$G$260</definedName>
    <definedName function="false" hidden="false" name="pIns_PT_VTAR_A_VOTV" vbProcedure="false">'ВО. Т-во'!$T$53</definedName>
    <definedName function="false" hidden="false" name="pIns_PT_VTAR_A_VOTV_OFFER_1" vbProcedure="false">Предложение!$G$74</definedName>
    <definedName function="false" hidden="false" name="pIns_PT_VTAR_A_VOTV_OFFER_2" vbProcedure="false">Предложение!$G$134</definedName>
    <definedName function="false" hidden="false" name="pIns_PT_VTAR_A_VOTV_OFFER_3" vbProcedure="false">Предложение!$G$192</definedName>
    <definedName function="false" hidden="false" name="pIns_PT_VTAR_A_VOTV_OFFER_4" vbProcedure="false">Предложение!$G$250</definedName>
    <definedName function="false" hidden="false" name="pIns_PT_VTAR_A_VOTV_OFFER_5" vbProcedure="false">Предложение!$G$308</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Предложение!$G$53</definedName>
    <definedName function="false" hidden="false" name="pIns_PT_VTAR_B_COLDVSNA_OFFER_2" vbProcedure="false">Предложение!$G$113</definedName>
    <definedName function="false" hidden="false" name="pIns_PT_VTAR_B_COLDVSNA_OFFER_3" vbProcedure="false">Предложение!$G$171</definedName>
    <definedName function="false" hidden="false" name="pIns_PT_VTAR_B_COLDVSNA_OFFER_4" vbProcedure="false">Предложение!$G$229</definedName>
    <definedName function="false" hidden="false" name="pIns_PT_VTAR_B_COLDVSNA_OFFER_5" vbProcedure="false">Предложение!$G$287</definedName>
    <definedName function="false" hidden="false" name="pIns_PT_VTAR_B_HOTVSNA" vbProcedure="false">'ГВС. Т-транс'!$T$54</definedName>
    <definedName function="false" hidden="false" name="pIns_PT_VTAR_B_HOTVSNA_OFFER_1" vbProcedure="false">Предложение!$G$68</definedName>
    <definedName function="false" hidden="false" name="pIns_PT_VTAR_B_HOTVSNA_OFFER_2" vbProcedure="false">Предложение!$G$128</definedName>
    <definedName function="false" hidden="false" name="pIns_PT_VTAR_B_HOTVSNA_OFFER_3" vbProcedure="false">Предложение!$G$186</definedName>
    <definedName function="false" hidden="false" name="pIns_PT_VTAR_B_HOTVSNA_OFFER_4" vbProcedure="false">Предложение!$G$244</definedName>
    <definedName function="false" hidden="false" name="pIns_PT_VTAR_B_HOTVSNA_OFFER_5" vbProcedure="false">Предложение!$G$302</definedName>
    <definedName function="false" hidden="false" name="pIns_PT_VTAR_B_OFFER_1" vbProcedure="false">Предложение!$G$29</definedName>
    <definedName function="false" hidden="false" name="pIns_PT_VTAR_B_OFFER_2" vbProcedure="false">Предложение!$G$89</definedName>
    <definedName function="false" hidden="false" name="pIns_PT_VTAR_B_OFFER_3" vbProcedure="false">Предложение!$G$147</definedName>
    <definedName function="false" hidden="false" name="pIns_PT_VTAR_B_OFFER_4" vbProcedure="false">Предложение!$G$205</definedName>
    <definedName function="false" hidden="false" name="pIns_PT_VTAR_B_OFFER_5" vbProcedure="false">Предложение!$G$263</definedName>
    <definedName function="false" hidden="false" name="pIns_PT_VTAR_B_VOTV" vbProcedure="false">'ВО. Т-транс'!$T$53</definedName>
    <definedName function="false" hidden="false" name="pIns_PT_VTAR_B_VOTV_OFFER_1" vbProcedure="false">Предложение!$G$77</definedName>
    <definedName function="false" hidden="false" name="pIns_PT_VTAR_B_VOTV_OFFER_2" vbProcedure="false">Предложение!$G$137</definedName>
    <definedName function="false" hidden="false" name="pIns_PT_VTAR_B_VOTV_OFFER_3" vbProcedure="false">Предложение!$G$195</definedName>
    <definedName function="false" hidden="false" name="pIns_PT_VTAR_B_VOTV_OFFER_4" vbProcedure="false">Предложение!$G$253</definedName>
    <definedName function="false" hidden="false" name="pIns_PT_VTAR_B_VOTV_OFFER_5" vbProcedure="false">Предложение!$G$311</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Предложение!$G$56</definedName>
    <definedName function="false" hidden="false" name="pIns_PT_VTAR_C_COLDVSNA_OFFER_2" vbProcedure="false">Предложение!$G$116</definedName>
    <definedName function="false" hidden="false" name="pIns_PT_VTAR_C_COLDVSNA_OFFER_3" vbProcedure="false">Предложение!$G$174</definedName>
    <definedName function="false" hidden="false" name="pIns_PT_VTAR_C_COLDVSNA_OFFER_4" vbProcedure="false">Предложение!$G$232</definedName>
    <definedName function="false" hidden="false" name="pIns_PT_VTAR_C_COLDVSNA_OFFER_5" vbProcedure="false">Предложение!$G$290</definedName>
    <definedName function="false" hidden="false" name="pIns_PT_VTAR_C_HOTVSNA" vbProcedure="false">'ГВС. Т-подкл'!$T$63</definedName>
    <definedName function="false" hidden="false" name="pIns_PT_VTAR_C_HOTVSNA_OFFER_1" vbProcedure="false">Предложение!$G$71</definedName>
    <definedName function="false" hidden="false" name="pIns_PT_VTAR_C_HOTVSNA_OFFER_2" vbProcedure="false">Предложение!$G$131</definedName>
    <definedName function="false" hidden="false" name="pIns_PT_VTAR_C_HOTVSNA_OFFER_3" vbProcedure="false">Предложение!$G$189</definedName>
    <definedName function="false" hidden="false" name="pIns_PT_VTAR_C_HOTVSNA_OFFER_4" vbProcedure="false">Предложение!$G$247</definedName>
    <definedName function="false" hidden="false" name="pIns_PT_VTAR_C_HOTVSNA_OFFER_5" vbProcedure="false">Предложение!$G$305</definedName>
    <definedName function="false" hidden="false" name="pIns_PT_VTAR_C_OFFER_1" vbProcedure="false">Предложение!$G$32</definedName>
    <definedName function="false" hidden="false" name="pIns_PT_VTAR_C_OFFER_2" vbProcedure="false">Предложение!$G$92</definedName>
    <definedName function="false" hidden="false" name="pIns_PT_VTAR_C_OFFER_3" vbProcedure="false">Предложение!$G$150</definedName>
    <definedName function="false" hidden="false" name="pIns_PT_VTAR_C_OFFER_4" vbProcedure="false">Предложение!$G$208</definedName>
    <definedName function="false" hidden="false" name="pIns_PT_VTAR_C_OFFER_5" vbProcedure="false">Предложение!$G$266</definedName>
    <definedName function="false" hidden="false" name="pIns_PT_VTAR_C_VOTV" vbProcedure="false">'ВО. Т-подкл'!$T$63</definedName>
    <definedName function="false" hidden="false" name="pIns_PT_VTAR_C_VOTV_OFFER_1" vbProcedure="false">Предложение!$G$80</definedName>
    <definedName function="false" hidden="false" name="pIns_PT_VTAR_C_VOTV_OFFER_2" vbProcedure="false">Предложение!$G$140</definedName>
    <definedName function="false" hidden="false" name="pIns_PT_VTAR_C_VOTV_OFFER_3" vbProcedure="false">Предложение!$G$198</definedName>
    <definedName function="false" hidden="false" name="pIns_PT_VTAR_C_VOTV_OFFER_4" vbProcedure="false">Предложение!$G$256</definedName>
    <definedName function="false" hidden="false" name="pIns_PT_VTAR_C_VOTV_OFFER_5" vbProcedure="false">Предложение!$G$314</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Предложение!$G$59</definedName>
    <definedName function="false" hidden="false" name="pIns_PT_VTAR_D_COLDVSNA_OFFER_2" vbProcedure="false">Предложение!$G$119</definedName>
    <definedName function="false" hidden="false" name="pIns_PT_VTAR_D_COLDVSNA_OFFER_3" vbProcedure="false">Предложение!$G$177</definedName>
    <definedName function="false" hidden="false" name="pIns_PT_VTAR_D_COLDVSNA_OFFER_4" vbProcedure="false">Предложение!$G$235</definedName>
    <definedName function="false" hidden="false" name="pIns_PT_VTAR_D_COLDVSNA_OFFER_5" vbProcedure="false">Предложение!$G$293</definedName>
    <definedName function="false" hidden="false" name="pIns_PT_VTAR_D_OFFER_1" vbProcedure="false">Предложение!$G$35</definedName>
    <definedName function="false" hidden="false" name="pIns_PT_VTAR_D_OFFER_2" vbProcedure="false">Предложение!$G$95</definedName>
    <definedName function="false" hidden="false" name="pIns_PT_VTAR_D_OFFER_3" vbProcedure="false">Предложение!$G$153</definedName>
    <definedName function="false" hidden="false" name="pIns_PT_VTAR_D_OFFER_4" vbProcedure="false">Предложение!$G$211</definedName>
    <definedName function="false" hidden="false" name="pIns_PT_VTAR_D_OFFER_5" vbProcedure="false">Предложение!$G$269</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Предложение!$G$98</definedName>
    <definedName function="false" hidden="false" name="pIns_PT_VTAR_E1_OFFER_3" vbProcedure="false">Предложение!$G$156</definedName>
    <definedName function="false" hidden="false" name="pIns_PT_VTAR_E1_OFFER_4" vbProcedure="false">Предложение!$G$214</definedName>
    <definedName function="false" hidden="false" name="pIns_PT_VTAR_E1_OFFER_5" vbProcedure="false">Предложение!$G$272</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Предложение!$G$101</definedName>
    <definedName function="false" hidden="false" name="pIns_PT_VTAR_E2_OFFER_3" vbProcedure="false">Предложение!$G$159</definedName>
    <definedName function="false" hidden="false" name="pIns_PT_VTAR_E2_OFFER_4" vbProcedure="false">Предложение!$G$217</definedName>
    <definedName function="false" hidden="false" name="pIns_PT_VTAR_E2_OFFER_5" vbProcedure="false">Предложение!$G$275</definedName>
    <definedName function="false" hidden="false" name="pIns_PT_VTAR_E_COLDVSNA" vbProcedure="false">'ХВС. Т-подкл'!$T$63</definedName>
    <definedName function="false" hidden="false" name="pIns_PT_VTAR_E_COLDVSNA_OFFER_1" vbProcedure="false">Предложение!$G$62</definedName>
    <definedName function="false" hidden="false" name="pIns_PT_VTAR_E_COLDVSNA_OFFER_2" vbProcedure="false">Предложение!$G$122</definedName>
    <definedName function="false" hidden="false" name="pIns_PT_VTAR_E_COLDVSNA_OFFER_3" vbProcedure="false">Предложение!$G$180</definedName>
    <definedName function="false" hidden="false" name="pIns_PT_VTAR_E_COLDVSNA_OFFER_4" vbProcedure="false">Предложение!$G$238</definedName>
    <definedName function="false" hidden="false" name="pIns_PT_VTAR_E_COLDVSNA_OFFER_5" vbProcedure="false">Предложение!$G$296</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Предложение!$G$104</definedName>
    <definedName function="false" hidden="false" name="pIns_PT_VTAR_F_OFFER_3" vbProcedure="false">Предложение!$G$162</definedName>
    <definedName function="false" hidden="false" name="pIns_PT_VTAR_F_OFFER_4" vbProcedure="false">Предложение!$G$220</definedName>
    <definedName function="false" hidden="false" name="pIns_PT_VTAR_F_OFFER_5" vbProcedure="false">Предложение!$G$278</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Предложение!$G$107</definedName>
    <definedName function="false" hidden="false" name="pIns_PT_VTAR_G_OFFER_3" vbProcedure="false">Предложение!$G$165</definedName>
    <definedName function="false" hidden="false" name="pIns_PT_VTAR_G_OFFER_4" vbProcedure="false">Предложение!$G$223</definedName>
    <definedName function="false" hidden="false" name="pIns_PT_VTAR_G_OFFER_5" vbProcedure="false">Предложение!$G$281</definedName>
    <definedName function="false" hidden="false" name="pIns_PT_VTAR_H" vbProcedure="false">'ТС. Т-подкл(инд)'!$T$59</definedName>
    <definedName function="false" hidden="false" name="pIns_PT_VTAR_I" vbProcedure="false">'ТС. Т-ТЭ | предел'!$T$57</definedName>
    <definedName function="false" hidden="false" name="pIns_PT_VTAR_I_1" vbProcedure="false">'ТС. Т-ТЭ | индикат'!$T$57</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Ограничения!$K$25</definedName>
    <definedName function="false" hidden="false" name="pIns_Q_PH_DIFFERENTIATION" vbProcedure="false">'Потребительские характеристики'!$K$8</definedName>
    <definedName function="false" hidden="false" name="pIns_Q_TP_1" vbProcedure="false">ТП!$E$22</definedName>
    <definedName function="false" hidden="false" name="pIns_Q_TP_DIFFERENTIATION" vbProcedure="false">ТП!$I$8</definedName>
    <definedName function="false" hidden="false" name="pIns_ROIV_CASE_case" vbProcedure="false">'Дела об установлении тарифов'!$F$11</definedName>
    <definedName function="false" hidden="false" name="pIns_ROIV_CASE_PUC_case" vbProcedure="false">'Дела об утверждении ПУЦ'!$F$11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ответственности'!$F$15</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EAT_TARIFF_H" vbProcedure="false">'ТС. Т-подкл(инд)'!$AJ$40</definedName>
    <definedName function="false" hidden="false" name="pIns_ver_HEAT_TARIFF_I" vbProcedure="false">'ТС. Т-ТЭ | предел'!$AL$39</definedName>
    <definedName function="false" hidden="false" name="pIns_ver_HEAT_TARIFF_I_1" vbProcedure="false">'ТС. Т-ТЭ | индикат'!$AL$39</definedName>
    <definedName function="false" hidden="false" name="pIns_ver_HOTVSNA_TARIFF_A_HOTVSNA" vbProcedure="false">'ГВС. Т-гор.вода'!$EM$37</definedName>
    <definedName function="false" hidden="false" name="pIns_ver_HOTVSNA_TARIFF_B_HOTVSNA" vbProcedure="false">'ГВС. Т-транс'!$AR$37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Ограничения!$K$26</definedName>
    <definedName function="false" hidden="false" name="pNote_Q_PH" vbProcedure="false">'Потребительские характеристики'!$K$9</definedName>
    <definedName function="false" hidden="false" name="pNum_Q_LIMIT" vbProcedure="false">Ограничения!$D$31</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Т-гор.вода'!$44:$61</definedName>
    <definedName function="false" hidden="false" name="pt_cs_15" vbProcedure="false">'ГВС. Т-транс'!$44:$51</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20" vbProcedure="false">'ТС. Т-подкл(инд)'!$47:$58</definedName>
    <definedName function="false" hidden="false" name="pt_cs_21" vbProcedure="false">'ТС. Т-ТЭ | предел'!$45:$54</definedName>
    <definedName function="false" hidden="false" name="pt_cs_21_1" vbProcedure="false">'ТС. Т-ТЭ | индикат'!$45:$54</definedName>
    <definedName function="false" hidden="false" name="pt_cs_3" vbProcedure="false">'ТС. Т-ТН'!$45:$54</definedName>
    <definedName function="false" hidden="false" name="pt_cs_30" vbProcedure="false">'ГВС. Т-гор.вода'!$64:$75</definedName>
    <definedName function="false" hidden="false" name="pt_cs_31" vbProcedure="false">'ГВС. Т-гор.вода'!$78:$89</definedName>
    <definedName function="false" hidden="false" name="pt_cs_4" vbProcedure="false">'ТС. Т-гор.вода'!$51:$62</definedName>
    <definedName function="false" hidden="false" name="pt_cs_4i" vbProcedure="false">#REF!</definedName>
    <definedName function="false" hidden="false" name="pt_cs_4p" vbProcedure="false">#REF!</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тарифов'!$AL$12:$AL$138</definedName>
    <definedName function="false" hidden="false" name="PT_DIFFERENTIATION_CS_ID" vbProcedure="false">'Перечень тарифов'!$AF$12:$AF$138</definedName>
    <definedName function="false" hidden="false" name="PT_DIFFERENTIATION_IST_TE" vbProcedure="false">'Перечень тарифов'!$AM$12:$AM$138</definedName>
    <definedName function="false" hidden="false" name="PT_DIFFERENTIATION_IST_TE_ID" vbProcedure="false">'Перечень тарифов'!$AG$12:$AG$138</definedName>
    <definedName function="false" hidden="false" name="PT_DIFFERENTIATION_NTAR" vbProcedure="false">'Перечень тарифов'!$AJ$12:$AJ$138</definedName>
    <definedName function="false" hidden="false" name="PT_DIFFERENTIATION_NTAR_ID" vbProcedure="false">'Перечень тарифов'!$AD$12:$AD$138</definedName>
    <definedName function="false" hidden="false" name="PT_DIFFERENTIATION_NUM_CS" vbProcedure="false">'Перечень тарифов'!$AP$12:$AP$138</definedName>
    <definedName function="false" hidden="false" name="PT_DIFFERENTIATION_NUM_IST_TE" vbProcedure="false">'Перечень тарифов'!$AQ$12:$AQ$138</definedName>
    <definedName function="false" hidden="false" name="PT_DIFFERENTIATION_NUM_NTAR" vbProcedure="false">'Перечень тарифов'!$AN$12:$AN$138</definedName>
    <definedName function="false" hidden="false" name="PT_DIFFERENTIATION_NUM_TER" vbProcedure="false">'Перечень тарифов'!$AO$12:$AO$138</definedName>
    <definedName function="false" hidden="false" name="PT_DIFFERENTIATION_TER" vbProcedure="false">'Перечень тарифов'!$AK$12:$AK$138</definedName>
    <definedName function="false" hidden="false" name="PT_DIFFERENTIATION_TER_ID" vbProcedure="false">'Перечень тарифов'!$AE$12:$AE$138</definedName>
    <definedName function="false" hidden="false" name="PT_DIFFERENTIATION_VDET" vbProcedure="false">'Перечень тарифов'!$AI$12:$AI$138</definedName>
    <definedName function="false" hidden="false" name="PT_DIFFERENTIATION_VTAR" vbProcedure="false">'Перечень тарифов'!$AH$12:$AH$138</definedName>
    <definedName function="false" hidden="false" name="PT_DIFFERENTIATION_VTAR_ID" vbProcedure="false">'Перечень тарифов'!$AC$12:$AC$138</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ist_te_1" vbProcedure="false">'ТС. Т-ТЭ | &gt;=25МВт'!$46:$53</definedName>
    <definedName function="false" hidden="false" name="pt_ist_te_2" vbProcedure="false">'ТС. Т-ТЭ | ТСО'!$46:$53</definedName>
    <definedName function="false" hidden="false" name="pt_ist_te_20" vbProcedure="false">'ТС. Т-подкл(инд)'!$48:$57</definedName>
    <definedName function="false" hidden="false" name="pt_ist_te_21" vbProcedure="false">'ТС. Т-ТЭ | предел'!$46:$53</definedName>
    <definedName function="false" hidden="false" name="pt_ist_te_21_1" vbProcedure="false">'ТС. Т-ТЭ | индикат'!$46:$53</definedName>
    <definedName function="false" hidden="false" name="pt_ist_te_3" vbProcedure="false">'ТС. Т-ТН'!$46:$53</definedName>
    <definedName function="false" hidden="false" name="pt_ist_te_4" vbProcedure="false">'ТС. Т-гор.вода'!$52:$61</definedName>
    <definedName function="false" hidden="false" name="pt_ist_te_4i" vbProcedure="false">#REF!</definedName>
    <definedName function="false" hidden="false" name="pt_ist_te_4p" vbProcedure="false">#REF!</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Т-гор.вода'!$42:$91</definedName>
    <definedName function="false" hidden="false" name="pt_ntar_15" vbProcedure="false">'ГВС. Т-транс'!$42:$53</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20" vbProcedure="false">'ТС. Т-подкл(инд)'!$45:$61</definedName>
    <definedName function="false" hidden="false" name="pt_ntar_21" vbProcedure="false">'ТС. Т-ТЭ | предел'!$43:$56</definedName>
    <definedName function="false" hidden="false" name="pt_ntar_21_1" vbProcedure="false">'ТС. Т-ТЭ | индикат'!$43:$56</definedName>
    <definedName function="false" hidden="false" name="pt_ntar_3" vbProcedure="false">'ТС. Т-ТН'!$43:$56</definedName>
    <definedName function="false" hidden="false" name="pt_ntar_4" vbProcedure="false">'ТС. Т-гор.вода'!$49:$64</definedName>
    <definedName function="false" hidden="false" name="pt_ntar_4i" vbProcedure="false">#REF!</definedName>
    <definedName function="false" hidden="false" name="pt_ntar_4p" vbProcedure="false">#REF!</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Т-гор.вода'!$43:$62</definedName>
    <definedName function="false" hidden="false" name="pt_ter_15" vbProcedure="false">'ГВС. Т-транс'!$43:$52</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20" vbProcedure="false">'ТС. Т-подкл(инд)'!$46:$59</definedName>
    <definedName function="false" hidden="false" name="pt_ter_21" vbProcedure="false">'ТС. Т-ТЭ | предел'!$44:$55</definedName>
    <definedName function="false" hidden="false" name="pt_ter_21_1" vbProcedure="false">'ТС. Т-ТЭ | индикат'!$44:$55</definedName>
    <definedName function="false" hidden="false" name="pt_ter_3" vbProcedure="false">'ТС. Т-ТН'!$44:$55</definedName>
    <definedName function="false" hidden="false" name="pt_ter_30" vbProcedure="false">'ГВС. Т-гор.вода'!$63:$76</definedName>
    <definedName function="false" hidden="false" name="pt_ter_31" vbProcedure="false">'ГВС. Т-гор.вода'!$77:$90</definedName>
    <definedName function="false" hidden="false" name="pt_ter_4" vbProcedure="false">'ТС. Т-гор.вода'!$50:$63</definedName>
    <definedName function="false" hidden="false" name="pt_ter_4i" vbProcedure="false">#REF!</definedName>
    <definedName function="false" hidden="false" name="pt_ter_4p" vbProcedure="false">#REF!</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Ограничения!$E$32:$K$39</definedName>
    <definedName function="false" hidden="false" name="Q_LIMIT_diff_1" vbProcedure="false">Ограничения!$I$26:$J$28</definedName>
    <definedName function="false" hidden="false" name="Q_LIMIT_p3" vbProcedure="false">Ограничения!$F$36:$K$37</definedName>
    <definedName function="false" hidden="false" name="Q_LIMIT_p4" vbProcedure="false">Ограничения!$F$38:$K$39</definedName>
    <definedName function="false" hidden="false" name="Q_PH_diff_1" vbProcedure="false">'Потребительские характеристики'!$I$9:$J$11</definedName>
    <definedName function="false" hidden="false" name="Q_TP_COUNT_REFUSAL" vbProcedure="false">ТП!$H$17:$H$17</definedName>
    <definedName function="false" hidden="false" name="Q_TP_diff_1" vbProcedure="false">ТП!$H$9:$H$11</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ATE" vbProcedure="false">'Дела об установлении тарифов'!$G$10:$G$11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CASE_PROTOKOL" vbProcedure="false">'Дела об установлении тарифов'!$K$10:$K$11</definedName>
    <definedName function="false" hidden="false" name="ROIV_CASE_PROTOKOL_ET" vbProcedure="false">'Дела об установлении тарифов'!$K$2</definedName>
    <definedName function="false" hidden="false" name="ROIV_CASE_PUC_ADD_HL_CASE_COLUMN_MARKER" vbProcedure="false">'Дела об утверждении ПУЦ'!$F$1</definedName>
    <definedName function="false" hidden="false" name="ROIV_CASE_PUC_DATE" vbProcedure="false">'Дела об утверждении ПУЦ'!$G$10:$G$11</definedName>
    <definedName function="false" hidden="false" name="ROIV_CASE_PUC_DEL_HL_CASE_COLUMN_MARKER" vbProcedure="false">'Дела об утверждении ПУЦ'!$D$1</definedName>
    <definedName function="false" hidden="false" name="ROIV_CASE_PUC_NUM_CASE_COLUMN_MARKER" vbProcedure="false">'Дела об утверждении ПУЦ'!$E$1</definedName>
    <definedName function="false" hidden="false" name="ROIV_CASE_PUC_PROTOKOL" vbProcedure="false">'Дела об утверждении ПУЦ'!$K$10:$K$11</definedName>
    <definedName function="false" hidden="false" name="ROIV_CASE_PUC_PROTOKOL_ET" vbProcedure="false">'Дела об утверждении ПУЦ'!$K$2</definedName>
    <definedName function="false" hidden="false" name="ROIV_CASE_PUC_RESH" vbProcedure="false">'Дела об утверждении ПУЦ'!$J$10:$J$11</definedName>
    <definedName function="false" hidden="false" name="ROIV_CASE_PUC_RESH_ET" vbProcedure="false">'Дела об утверждении ПУЦ'!$J$2</definedName>
    <definedName function="false" hidden="false" name="ROIV_CASE_RESH" vbProcedure="false">'Дела об установлении тарифов'!$J$10:$J$11</definedName>
    <definedName function="false" hidden="false" name="ROIV_CASE_RESH_ET" vbProcedure="false">'Дела об установлении тарифов'!$J$2</definedName>
    <definedName function="false" hidden="false" name="ROIV_INFO_COMMENT" vbProcedure="false">TEHSHEET!$BA$97:$BA$103</definedName>
    <definedName function="false" hidden="false" name="ROIV_INFO_COMMENT_HEAT" vbProcedure="false">TEHSHEET!$BA$97:$BA$103</definedName>
    <definedName function="false" hidden="false" name="ROIV_INFO_COMMENT_NO_HEAT" vbProcedure="false">TEHSHEET!$BA$111:$BA$116</definedName>
    <definedName function="false" hidden="false" name="ROIV_INFO_DEL_HL_PHONE_COLUMN_MARKER" vbProcedure="false">'Орган регулирования'!$C$1</definedName>
    <definedName function="false" hidden="false" name="ROIV_INFO_DOKLAD" vbProcedure="false">'Орган регулирования'!$F$24</definedName>
    <definedName function="false" hidden="false" name="ROIV_INFO_LIST" vbProcedure="false">TEHSHEET!$AZ$97:$AZ$103</definedName>
    <definedName function="false" hidden="false" name="ROIV_INFO_LIST_HEAT" vbProcedure="false">TEHSHEET!$AZ$97:$AZ$103</definedName>
    <definedName function="false" hidden="false" name="ROIV_INFO_LIST_NO_HEAT" vbProcedure="false">TEHSHEET!$AZ$111:$AZ$116</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ответственности'!$K$1</definedName>
    <definedName function="false" hidden="false" name="ROIV_OTV_DEL_HL_DL_COLUMN_MARKER" vbProcedure="false">'Привлечение к ответственности'!$I$1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ответственности'!$H$1</definedName>
    <definedName function="false" hidden="false" name="ROIV_OTV_NAME_ORG_COLUMN_MARKER" vbProcedure="false">'Привлечение к ответственности'!$G$1</definedName>
    <definedName function="false" hidden="false" name="ROIV_OTV_NUM_DL_COLUMN_MARKER" vbProcedure="false">'Привлечение к ответственности'!$J$1</definedName>
    <definedName function="false" hidden="false" name="ROIV_OTV_NUM_ORG_COLUMN_MARKER" vbProcedure="false">'Привлечение к ответственности'!$E$1</definedName>
    <definedName function="false" hidden="false" name="ROIV_OTV_TECH_ORG_ID_COLUMN_MARKER" vbProcedure="false">'Привлечение к ответственности'!$A$1</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территорий'!$E$11:$I$21</definedName>
    <definedName function="false" hidden="false" name="TERRITORY_ID" vbProcedure="false">TEHSHEET!$E$56</definedName>
    <definedName function="false" hidden="false" name="TERRITORY_LIST_ID" vbProcedure="false">'Список территорий'!$F$11:$F$21</definedName>
    <definedName function="false" hidden="false" name="TERRITORY_MO_LIST" vbProcedure="false">'Список территорий'!$H$11:$H$21</definedName>
    <definedName function="false" hidden="false" name="TERRITORY_MR_LIST" vbProcedure="false">'Список территорий'!$G$11:$G$21</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55" vbProcedure="false">'Список территорий'!$G$16:$I$16</definedName>
    <definedName function="false" hidden="false" name="ter_56" vbProcedure="false">'Список территорий'!$G$19:$I$19</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AME_ROIV" vbProcedure="false">титульный!#REF!</definedName>
    <definedName function="false" hidden="false" name="TITLE_NDS" vbProcedure="false">титульный!#REF!</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TEHSHEET!$AZ$106:$AZ$108</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REESTR_VED!$A$2:$A$4</definedName>
    <definedName function="false" hidden="false" name="VD_LIST" vbProcedure="false">REESTR_VED!$A$2:$B$4</definedName>
    <definedName function="false" hidden="false" name="VD_NAME_LIST" vbProcedure="false">REESTR_VED!$B$2:$B$4</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Дифференциация!$F$12:$F$16</definedName>
    <definedName function="false" hidden="false" name="Y_N_DIFFERENTIATION_SYSTEM" vbProcedure="false">Дифференциация!$J$12:$J$16</definedName>
    <definedName function="false" hidden="false" localSheetId="57" name="_xlnm._FilterDatabase" vbProcedure="false">Проверка!$B$4:$E$5</definedName>
  </definedNames>
  <calcPr iterateCount="100" refMode="A1" iterate="fals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E37" authorId="0">
      <text>
        <r>
          <rPr>
            <sz val="9"/>
            <color rgb="FF000000"/>
            <rFont val="Tahoma"/>
            <family val="0"/>
            <charset val="1"/>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49.xml><?xml version="1.0" encoding="utf-8"?>
<comments xmlns="http://schemas.openxmlformats.org/spreadsheetml/2006/main" xmlns:xdr="http://schemas.openxmlformats.org/drawingml/2006/spreadsheetDrawing">
  <authors>
    <author> </author>
  </authors>
  <commentList>
    <comment ref="L6" authorId="0">
      <text>
        <r>
          <rPr>
            <sz val="9"/>
            <color rgb="FF000000"/>
            <rFont val="Tahoma"/>
            <family val="0"/>
            <charset val="1"/>
          </rPr>
          <t xml:space="preserve">тут будет больше 0, если выбран хотя бы один метод, отличный от экономически обоснованных</t>
        </r>
      </text>
    </comment>
    <comment ref="AZ1" authorId="0">
      <text>
        <r>
          <rPr>
            <sz val="9"/>
            <color rgb="FF000000"/>
            <rFont val="Tahoma"/>
            <family val="0"/>
            <charset val="1"/>
          </rPr>
          <t xml:space="preserve">Тип организации</t>
        </r>
      </text>
    </comment>
  </commentList>
</comments>
</file>

<file path=xl/comments61.xml><?xml version="1.0" encoding="utf-8"?>
<comments xmlns="http://schemas.openxmlformats.org/spreadsheetml/2006/main" xmlns:xdr="http://schemas.openxmlformats.org/drawingml/2006/spreadsheetDrawing">
  <authors>
    <author> </author>
  </authors>
  <commentList>
    <comment ref="P2" authorId="0">
      <text>
        <r>
          <rPr>
            <sz val="9"/>
            <color rgb="FF000000"/>
            <rFont val="Tahoma"/>
            <family val="0"/>
            <charset val="1"/>
          </rPr>
          <t xml:space="preserve">сюда же для некоторых формул может входить:
- VOTV
- HOTVSNA</t>
        </r>
      </text>
    </comment>
    <comment ref="U2" authorId="0">
      <text>
        <r>
          <rPr>
            <sz val="9"/>
            <color rgb="FF000000"/>
            <rFont val="Tahoma"/>
            <family val="0"/>
            <charset val="1"/>
          </rPr>
          <t xml:space="preserve">сюда же для некоторых формул может входить:
- VOTV
- HOTVSNA</t>
        </r>
      </text>
    </comment>
  </commentList>
</comments>
</file>

<file path=xl/sharedStrings.xml><?xml version="1.0" encoding="utf-8"?>
<sst xmlns="http://schemas.openxmlformats.org/spreadsheetml/2006/main" count="15482" uniqueCount="3986">
  <si>
    <t xml:space="preserve"> (требуется обновление)</t>
  </si>
  <si>
    <t xml:space="preserve">Код отчёта: PP108.OPEN.INFO.PRICE.HOTVSNA.EIAS</t>
  </si>
  <si>
    <t xml:space="preserve">Версия отчёта: 1.0.7</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</si>
  <si>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</si>
  <si>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</si>
  <si>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</si>
  <si>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</si>
  <si>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</si>
  <si>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</si>
  <si>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</si>
  <si>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</si>
  <si>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</si>
  <si>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</si>
  <si>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Субъект РФ</t>
  </si>
  <si>
    <t xml:space="preserve">Ярославская область</t>
  </si>
  <si>
    <t xml:space="preserve">Состав раскрываемой информации</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</si>
  <si>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</si>
  <si>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</si>
  <si>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</si>
  <si>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</si>
  <si>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</si>
  <si>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</si>
  <si>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</si>
  <si>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</si>
  <si>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</si>
  <si>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</si>
  <si>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</si>
  <si>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</si>
  <si>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</si>
  <si>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</si>
  <si>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</si>
  <si>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</si>
  <si>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</si>
  <si>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</si>
  <si>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</si>
  <si>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</si>
  <si>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403-гвс, 404-гвс, 406-гвс</t>
  </si>
  <si>
    <t xml:space="preserve">Наименование органа регулирования, принявшего решение об утверждении тарифов</t>
  </si>
  <si>
    <t xml:space="preserve">Министерство тарифного регулирования Ярославской области</t>
  </si>
  <si>
    <t xml:space="preserve">Источник официального опубликования решения</t>
  </si>
  <si>
    <t xml:space="preserve">официальный интернет- портал правовой информации www.pravo.gov.ru</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</si>
  <si>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</si>
  <si>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</si>
  <si>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ООО "Газпром теплоэнерго Ярославль"</t>
  </si>
  <si>
    <t xml:space="preserve">Наименование (описание) обособленного подразделения</t>
  </si>
  <si>
    <t xml:space="preserve">ИНН</t>
  </si>
  <si>
    <t xml:space="preserve">7603060690</t>
  </si>
  <si>
    <t xml:space="preserve">КПП</t>
  </si>
  <si>
    <t xml:space="preserve">760301001</t>
  </si>
  <si>
    <t xml:space="preserve">Тип теплоснабжающей организации</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</si>
  <si>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</si>
  <si>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</si>
  <si>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</si>
  <si>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нет</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</si>
  <si>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</si>
  <si>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</si>
  <si>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</si>
  <si>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</si>
  <si>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</si>
  <si>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</si>
  <si>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</si>
  <si>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</si>
  <si>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</si>
  <si>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</si>
  <si>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</si>
  <si>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</si>
  <si>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</si>
  <si>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150065 г. Ярославль, проспект Машиностроителей, д.64</t>
  </si>
  <si>
    <t xml:space="preserve">Фамилия, имя, отчество руководителя</t>
  </si>
  <si>
    <t xml:space="preserve">Малов Сергей Владимирович</t>
  </si>
  <si>
    <t xml:space="preserve">Ответственный за заполнение формы</t>
  </si>
  <si>
    <t xml:space="preserve">Фамилия, имя, отчество</t>
  </si>
  <si>
    <t xml:space="preserve">Жезлова Наталия Валерьевна</t>
  </si>
  <si>
    <t xml:space="preserve">Должность</t>
  </si>
  <si>
    <t xml:space="preserve">начальник планово-экономической группы</t>
  </si>
  <si>
    <t xml:space="preserve">Контактный телефон</t>
  </si>
  <si>
    <t xml:space="preserve">(4852)670-658</t>
  </si>
  <si>
    <t xml:space="preserve">E-mail</t>
  </si>
  <si>
    <t xml:space="preserve">u1577@gpte76.ru</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</si>
  <si>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</si>
  <si>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</si>
  <si>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</si>
  <si>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</si>
  <si>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</si>
  <si>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</si>
  <si>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</si>
  <si>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</si>
  <si>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</si>
  <si>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</si>
  <si>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</si>
  <si>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</si>
  <si>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</si>
  <si>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</si>
  <si>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</si>
  <si>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</si>
  <si>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100</t>
  </si>
  <si>
    <t xml:space="preserve">город Ярославль</t>
  </si>
  <si>
    <t xml:space="preserve">78701000</t>
  </si>
  <si>
    <t xml:space="preserve">Добавить МО</t>
  </si>
  <si>
    <t xml:space="preserve">2</t>
  </si>
  <si>
    <t xml:space="preserve">×</t>
  </si>
  <si>
    <t xml:space="preserve">ter_55</t>
  </si>
  <si>
    <t xml:space="preserve">63</t>
  </si>
  <si>
    <t xml:space="preserve">Ростовский муниципальный район</t>
  </si>
  <si>
    <t xml:space="preserve">Семибратово сельское поселение</t>
  </si>
  <si>
    <t xml:space="preserve">78637447</t>
  </si>
  <si>
    <t xml:space="preserve">ter_56</t>
  </si>
  <si>
    <t xml:space="preserve">83</t>
  </si>
  <si>
    <t xml:space="preserve">Угличский муниципальный район</t>
  </si>
  <si>
    <t xml:space="preserve">Городское поселение г.Углич</t>
  </si>
  <si>
    <t xml:space="preserve">78646101</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</si>
  <si>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</si>
  <si>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</si>
  <si>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</si>
  <si>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</si>
  <si>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</si>
  <si>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</si>
  <si>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</si>
  <si>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5</t>
  </si>
  <si>
    <t xml:space="preserve">8</t>
  </si>
  <si>
    <t xml:space="preserve">ID_DIFF</t>
  </si>
  <si>
    <t xml:space="preserve">VD</t>
  </si>
  <si>
    <t xml:space="preserve">AREA</t>
  </si>
  <si>
    <t xml:space="preserve">SYSTEM</t>
  </si>
  <si>
    <t xml:space="preserve">diff_1</t>
  </si>
  <si>
    <t xml:space="preserve">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</si>
  <si>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</si>
  <si>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</si>
  <si>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</si>
  <si>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</si>
  <si>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</si>
  <si>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</si>
  <si>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</si>
  <si>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</si>
  <si>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</si>
  <si>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</si>
  <si>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</si>
  <si>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</si>
  <si>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</si>
  <si>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</si>
  <si>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</si>
  <si>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</si>
  <si>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</si>
  <si>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</si>
  <si>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</si>
  <si>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</si>
  <si>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</si>
  <si>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</si>
  <si>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</si>
  <si>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</si>
  <si>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</si>
  <si>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</si>
  <si>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</si>
  <si>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</si>
  <si>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</si>
  <si>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</si>
  <si>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</si>
  <si>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</si>
  <si>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</si>
  <si>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</si>
  <si>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</si>
  <si>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</si>
  <si>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</si>
  <si>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</si>
  <si>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</si>
  <si>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</si>
  <si>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</si>
  <si>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</si>
  <si>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pIns_PT_VTAR_B</t>
  </si>
  <si>
    <t xml:space="preserve">pt_ntar_2</t>
  </si>
  <si>
    <t xml:space="preserve">pt_ter_2</t>
  </si>
  <si>
    <t xml:space="preserve">pt_cs_2</t>
  </si>
  <si>
    <t xml:space="preserve">pt_ist_te_2</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</si>
  <si>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</si>
  <si>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</si>
  <si>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</si>
  <si>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</si>
  <si>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</si>
  <si>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</si>
  <si>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</si>
  <si>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</si>
  <si>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</si>
  <si>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</si>
  <si>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</si>
  <si>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</si>
  <si>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</si>
  <si>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</si>
  <si>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</si>
  <si>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</si>
  <si>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</si>
  <si>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</si>
  <si>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</si>
  <si>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</si>
  <si>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</si>
  <si>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</si>
  <si>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</si>
  <si>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</si>
  <si>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</si>
  <si>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</si>
  <si>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</si>
  <si>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</si>
  <si>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</si>
  <si>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</si>
  <si>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</si>
  <si>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</si>
  <si>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</si>
  <si>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</si>
  <si>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</si>
  <si>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</si>
  <si>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Плата за подключение к системе теплоснабжения (индивидуальная)</t>
  </si>
  <si>
    <t xml:space="preserve">pIns_PT_VTAR_H</t>
  </si>
  <si>
    <t xml:space="preserve">pt_ntar_20</t>
  </si>
  <si>
    <t xml:space="preserve">pt_ter_20</t>
  </si>
  <si>
    <t xml:space="preserve">pt_cs_20</t>
  </si>
  <si>
    <t xml:space="preserve">pt_ist_te_20</t>
  </si>
  <si>
    <t xml:space="preserve">Предельный уровень цены на тепловую энергию (мощность), поставляемую теплоснабжающими организациями потребителям</t>
  </si>
  <si>
    <t xml:space="preserve">pIns_PT_VTAR_I</t>
  </si>
  <si>
    <t xml:space="preserve">pt_ntar_21</t>
  </si>
  <si>
    <t xml:space="preserve">pt_ter_21</t>
  </si>
  <si>
    <t xml:space="preserve">pt_cs_21</t>
  </si>
  <si>
    <t xml:space="preserve">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</si>
  <si>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</si>
  <si>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</si>
  <si>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</si>
  <si>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</si>
  <si>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</si>
  <si>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</si>
  <si>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</si>
  <si>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</si>
  <si>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</si>
  <si>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</si>
  <si>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</si>
  <si>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</si>
  <si>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</si>
  <si>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</si>
  <si>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</si>
  <si>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</si>
  <si>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</si>
  <si>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</si>
  <si>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</si>
  <si>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</si>
  <si>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</si>
  <si>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</si>
  <si>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</si>
  <si>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</si>
  <si>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</si>
  <si>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</si>
  <si>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</si>
  <si>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</si>
  <si>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</si>
  <si>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</si>
  <si>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</si>
  <si>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</si>
  <si>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</si>
  <si>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</si>
  <si>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тариф на горячую воду в закрытой системе горячего водоснабжения</t>
  </si>
  <si>
    <t xml:space="preserve">4189706</t>
  </si>
  <si>
    <t xml:space="preserve">pIns_PT_VTAR_A_HOTVSNA</t>
  </si>
  <si>
    <t xml:space="preserve">pt_ntar_14</t>
  </si>
  <si>
    <t xml:space="preserve">pt_ter_14</t>
  </si>
  <si>
    <t xml:space="preserve">pt_cs_14</t>
  </si>
  <si>
    <t xml:space="preserve">Добавить централизованную систему для дифференциации</t>
  </si>
  <si>
    <t xml:space="preserve">pt_ter_30</t>
  </si>
  <si>
    <t xml:space="preserve">pt_cs_30</t>
  </si>
  <si>
    <t xml:space="preserve">pt_ist_te_30</t>
  </si>
  <si>
    <t xml:space="preserve">pt_ter_31</t>
  </si>
  <si>
    <t xml:space="preserve">pt_cs_31</t>
  </si>
  <si>
    <t xml:space="preserve">pt_ist_te_31</t>
  </si>
  <si>
    <t xml:space="preserve">Добавить территорию для дифференциации</t>
  </si>
  <si>
    <t xml:space="preserve">Добавить наименование тарифа</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</si>
  <si>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</si>
  <si>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</si>
  <si>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</si>
  <si>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</si>
  <si>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</si>
  <si>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</si>
  <si>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</si>
  <si>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</si>
  <si>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</si>
  <si>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</si>
  <si>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</si>
  <si>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</si>
  <si>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</si>
  <si>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</si>
  <si>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</si>
  <si>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</si>
  <si>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</si>
  <si>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</si>
  <si>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</si>
  <si>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</si>
  <si>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</si>
  <si>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</si>
  <si>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</si>
  <si>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</si>
  <si>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</si>
  <si>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</si>
  <si>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</si>
  <si>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</si>
  <si>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</si>
  <si>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</si>
  <si>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</si>
  <si>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</si>
  <si>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</si>
  <si>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</si>
  <si>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</si>
  <si>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</si>
  <si>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</si>
  <si>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</si>
  <si>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</si>
  <si>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</si>
  <si>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</si>
  <si>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</si>
  <si>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</si>
  <si>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</si>
  <si>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</si>
  <si>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</si>
  <si>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</si>
  <si>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</si>
  <si>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</si>
  <si>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</si>
  <si>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</si>
  <si>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</si>
  <si>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</si>
  <si>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</si>
  <si>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</si>
  <si>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</si>
  <si>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</si>
  <si>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</si>
  <si>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</si>
  <si>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</si>
  <si>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</si>
  <si>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</si>
  <si>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</si>
  <si>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</si>
  <si>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</si>
  <si>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</si>
  <si>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</si>
  <si>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</si>
  <si>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</si>
  <si>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</si>
  <si>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</si>
  <si>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</si>
  <si>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</si>
  <si>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</si>
  <si>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</si>
  <si>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</si>
  <si>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</si>
  <si>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</si>
  <si>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</si>
  <si>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</si>
  <si>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</si>
  <si>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</si>
  <si>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</si>
  <si>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</si>
  <si>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</si>
  <si>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</si>
  <si>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</si>
  <si>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</si>
  <si>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</si>
  <si>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</si>
  <si>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</si>
  <si>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</si>
  <si>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</si>
  <si>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</si>
  <si>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</si>
  <si>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</si>
  <si>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</si>
  <si>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</si>
  <si>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</si>
  <si>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</si>
  <si>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</si>
  <si>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</si>
  <si>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</si>
  <si>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</si>
  <si>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</si>
  <si>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</si>
  <si>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</si>
  <si>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</si>
  <si>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</si>
  <si>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</si>
  <si>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</si>
  <si>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</si>
  <si>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</si>
  <si>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</si>
  <si>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</si>
  <si>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</si>
  <si>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</si>
  <si>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</si>
  <si>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</si>
  <si>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</si>
  <si>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</si>
  <si>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</si>
  <si>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</si>
  <si>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</si>
  <si>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</si>
  <si>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</si>
  <si>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</si>
  <si>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</si>
  <si>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</si>
  <si>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</si>
  <si>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</si>
  <si>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</si>
  <si>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</si>
  <si>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</si>
  <si>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</si>
  <si>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</si>
  <si>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</si>
  <si>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</si>
  <si>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</si>
  <si>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</si>
  <si>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</si>
  <si>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</si>
  <si>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</si>
  <si>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</si>
  <si>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</si>
  <si>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</si>
  <si>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</si>
  <si>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</si>
  <si>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</si>
  <si>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</si>
  <si>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</si>
  <si>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</si>
  <si>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</si>
  <si>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</si>
  <si>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</si>
  <si>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</si>
  <si>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</si>
  <si>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</si>
  <si>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</si>
  <si>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</si>
  <si>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</si>
  <si>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</si>
  <si>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</si>
  <si>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</si>
  <si>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</si>
  <si>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</si>
  <si>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</si>
  <si>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</si>
  <si>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</si>
  <si>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</si>
  <si>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</si>
  <si>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</si>
  <si>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</si>
  <si>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</si>
  <si>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</si>
  <si>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</si>
  <si>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</si>
  <si>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</si>
  <si>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</si>
  <si>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</si>
  <si>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</si>
  <si>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</si>
  <si>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</si>
  <si>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</si>
  <si>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</si>
  <si>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</si>
  <si>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</si>
  <si>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</si>
  <si>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</si>
  <si>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</si>
  <si>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</si>
  <si>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</si>
  <si>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</si>
  <si>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</si>
  <si>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</si>
  <si>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</si>
  <si>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</si>
  <si>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</si>
  <si>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</si>
  <si>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</si>
  <si>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</si>
  <si>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</si>
  <si>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</si>
  <si>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</si>
  <si>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</si>
  <si>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</si>
  <si>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</si>
  <si>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</si>
  <si>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</si>
  <si>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</si>
  <si>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</si>
  <si>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</si>
  <si>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</si>
  <si>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</si>
  <si>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</si>
  <si>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</si>
  <si>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</si>
  <si>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</si>
  <si>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</si>
  <si>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</si>
  <si>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
тыс. руб./Гкал/ч (руб.)</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</si>
  <si>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</si>
  <si>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</si>
  <si>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</si>
  <si>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</si>
  <si>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</si>
  <si>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</si>
  <si>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</si>
  <si>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</si>
  <si>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</si>
  <si>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</si>
  <si>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</si>
  <si>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</si>
  <si>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</si>
  <si>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</si>
  <si>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</si>
  <si>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</si>
  <si>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</si>
  <si>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</si>
  <si>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</si>
  <si>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</si>
  <si>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</si>
  <si>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</si>
  <si>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</si>
  <si>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</si>
  <si>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</si>
  <si>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</si>
  <si>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</si>
  <si>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</si>
  <si>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</si>
  <si>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</si>
  <si>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</si>
  <si>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</si>
  <si>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</si>
  <si>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</si>
  <si>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</si>
  <si>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</si>
  <si>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</si>
  <si>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</si>
  <si>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</si>
  <si>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</si>
  <si>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</si>
  <si>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</si>
  <si>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</si>
  <si>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</si>
  <si>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</si>
  <si>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</si>
  <si>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</si>
  <si>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</si>
  <si>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</si>
  <si>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</si>
  <si>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</si>
  <si>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</si>
  <si>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</si>
  <si>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</si>
  <si>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</si>
  <si>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</si>
  <si>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</si>
  <si>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</si>
  <si>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</si>
  <si>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 xml:space="preserve">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</si>
  <si>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</si>
  <si>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</si>
  <si>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</si>
  <si>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</si>
  <si>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</si>
  <si>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 xml:space="preserve">pt_ist_te_14</t>
  </si>
  <si>
    <t xml:space="preserve">без дифференциации</t>
  </si>
  <si>
    <t xml:space="preserve">От РК-2 через сети потребителей</t>
  </si>
  <si>
    <t xml:space="preserve">От РК-2 через сети АО "ЯЭС"</t>
  </si>
  <si>
    <t xml:space="preserve">От РК-2 через сети ФГБУ ЦЖКУ</t>
  </si>
  <si>
    <t xml:space="preserve">население</t>
  </si>
  <si>
    <t xml:space="preserve">От РК-7 через тепловые сети МУП "Расчетно- кассовый центр"</t>
  </si>
  <si>
    <t xml:space="preserve">От РК-8 через тепловые сети МУП "Тепловые сети"</t>
  </si>
  <si>
    <t xml:space="preserve">pt_ist_te_15</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</si>
  <si>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</si>
  <si>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</si>
  <si>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</si>
  <si>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</si>
  <si>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</si>
  <si>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</si>
  <si>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</si>
  <si>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</si>
  <si>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</si>
  <si>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</si>
  <si>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</si>
  <si>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</si>
  <si>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</si>
  <si>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</si>
  <si>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</si>
  <si>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</si>
  <si>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</si>
  <si>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</si>
  <si>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</si>
  <si>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</si>
  <si>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</si>
  <si>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</si>
  <si>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</si>
  <si>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</si>
  <si>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</si>
  <si>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</si>
  <si>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</si>
  <si>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</si>
  <si>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</si>
  <si>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</si>
  <si>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</si>
  <si>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</si>
  <si>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</si>
  <si>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</si>
  <si>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</si>
  <si>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</si>
  <si>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</si>
  <si>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</si>
  <si>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</si>
  <si>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</si>
  <si>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</si>
  <si>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</si>
  <si>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</si>
  <si>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</si>
  <si>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</si>
  <si>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</si>
  <si>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</si>
  <si>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</si>
  <si>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</si>
  <si>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</si>
  <si>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</si>
  <si>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</si>
  <si>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</si>
  <si>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</si>
  <si>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</si>
  <si>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</si>
  <si>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</si>
  <si>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</si>
  <si>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</si>
  <si>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</si>
  <si>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</si>
  <si>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</si>
  <si>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</si>
  <si>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</si>
  <si>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</si>
  <si>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</si>
  <si>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</si>
  <si>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</si>
  <si>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</si>
  <si>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</si>
  <si>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</si>
  <si>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</si>
  <si>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</si>
  <si>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</si>
  <si>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</si>
  <si>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p3</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</si>
  <si>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</si>
  <si>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</si>
  <si>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</si>
  <si>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</si>
  <si>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</si>
  <si>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</si>
  <si>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</si>
  <si>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</si>
  <si>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</si>
  <si>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</si>
  <si>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</si>
  <si>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</si>
  <si>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</si>
  <si>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</si>
  <si>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</si>
  <si>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</si>
  <si>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</si>
  <si>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</si>
  <si>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</si>
  <si>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</si>
  <si>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</si>
  <si>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</si>
  <si>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</si>
  <si>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</si>
  <si>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</si>
  <si>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</si>
  <si>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</si>
  <si>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</si>
  <si>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</si>
  <si>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</si>
  <si>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</si>
  <si>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</si>
  <si>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</si>
  <si>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</si>
  <si>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</si>
  <si>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</si>
  <si>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</si>
  <si>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</si>
  <si>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</si>
  <si>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</si>
  <si>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</si>
  <si>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</si>
  <si>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</si>
  <si>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</si>
  <si>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</si>
  <si>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</si>
  <si>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</si>
  <si>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</si>
  <si>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</si>
  <si>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</si>
  <si>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</si>
  <si>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</si>
  <si>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</si>
  <si>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</si>
  <si>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</si>
  <si>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</si>
  <si>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</si>
  <si>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</si>
  <si>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</si>
  <si>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Годовая бухгалтерская (финансовая) отчетность, включая бухгалтерский баланс и приложения к нему</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</si>
  <si>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</si>
  <si>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</si>
  <si>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</si>
  <si>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</si>
  <si>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</si>
  <si>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</si>
  <si>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</si>
  <si>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</si>
  <si>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</si>
  <si>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</si>
  <si>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</si>
  <si>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</si>
  <si>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</si>
  <si>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</si>
  <si>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</si>
  <si>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</si>
  <si>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</si>
  <si>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</si>
  <si>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</si>
  <si>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</si>
  <si>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</si>
  <si>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</si>
  <si>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</si>
  <si>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</si>
  <si>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</si>
  <si>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</si>
  <si>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</si>
  <si>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</si>
  <si>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</si>
  <si>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</si>
  <si>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</si>
  <si>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</si>
  <si>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</si>
  <si>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</si>
  <si>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</si>
  <si>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</si>
  <si>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</si>
  <si>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</si>
  <si>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</si>
  <si>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</si>
  <si>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</si>
  <si>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</si>
  <si>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</si>
  <si>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</si>
  <si>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</si>
  <si>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</si>
  <si>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</si>
  <si>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</si>
  <si>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</si>
  <si>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</si>
  <si>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</si>
  <si>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</si>
  <si>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</si>
  <si>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</si>
  <si>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</si>
  <si>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</si>
  <si>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</si>
  <si>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</si>
  <si>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</si>
  <si>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</si>
  <si>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</si>
  <si>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</si>
  <si>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</si>
  <si>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</si>
  <si>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</si>
  <si>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</si>
  <si>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</si>
  <si>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</si>
  <si>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</si>
  <si>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</si>
  <si>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</si>
  <si>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</si>
  <si>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</si>
  <si>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</si>
  <si>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</si>
  <si>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</si>
  <si>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</si>
  <si>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</si>
  <si>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</si>
  <si>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</si>
  <si>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</si>
  <si>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</si>
  <si>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</si>
  <si>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</si>
  <si>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</si>
  <si>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</si>
  <si>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</si>
  <si>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</si>
  <si>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</si>
  <si>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</si>
  <si>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</si>
  <si>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</si>
  <si>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</si>
  <si>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</si>
  <si>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</si>
  <si>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</si>
  <si>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</si>
  <si>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</si>
  <si>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</si>
  <si>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</si>
  <si>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</si>
  <si>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</si>
  <si>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</si>
  <si>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</si>
  <si>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</si>
  <si>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</si>
  <si>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</si>
  <si>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</si>
  <si>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</si>
  <si>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</si>
  <si>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</si>
  <si>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</si>
  <si>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</si>
  <si>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</si>
  <si>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</si>
  <si>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</si>
  <si>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5.2</t>
  </si>
  <si>
    <t xml:space="preserve">5.3</t>
  </si>
  <si>
    <t xml:space="preserve">5.3.1</t>
  </si>
  <si>
    <t xml:space="preserve">5.3.2</t>
  </si>
  <si>
    <t xml:space="preserve">5.4</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</si>
  <si>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</si>
  <si>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</si>
  <si>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</si>
  <si>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</si>
  <si>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</si>
  <si>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Указывается ссылка на документ, предварительно загруженный в хранилище файлов ФГИС ЕИАС.</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</si>
  <si>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</si>
  <si>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</si>
  <si>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</si>
  <si>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</si>
  <si>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</si>
  <si>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</si>
  <si>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</si>
  <si>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</si>
  <si>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</si>
  <si>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</si>
  <si>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</si>
  <si>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</si>
  <si>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</si>
  <si>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</si>
  <si>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6.1</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</si>
  <si>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</si>
  <si>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</si>
  <si>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</si>
  <si>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</si>
  <si>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</si>
  <si>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</si>
  <si>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</si>
  <si>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</si>
  <si>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</si>
  <si>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</si>
  <si>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</si>
  <si>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</si>
  <si>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</si>
  <si>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</si>
  <si>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</si>
  <si>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</si>
  <si>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</si>
  <si>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</si>
  <si>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</si>
  <si>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</si>
  <si>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</si>
  <si>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</si>
  <si>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</si>
  <si>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</si>
  <si>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</si>
  <si>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</si>
  <si>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</si>
  <si>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</si>
  <si>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</si>
  <si>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</si>
  <si>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</si>
  <si>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</si>
  <si>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</si>
  <si>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</si>
  <si>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</si>
  <si>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</si>
  <si>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</si>
  <si>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</si>
  <si>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</si>
  <si>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</si>
  <si>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</si>
  <si>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</si>
  <si>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</si>
  <si>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</si>
  <si>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</si>
  <si>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</si>
  <si>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</si>
  <si>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2.0</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</si>
  <si>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</si>
  <si>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</si>
  <si>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</si>
  <si>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</si>
  <si>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</si>
  <si>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</si>
  <si>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</si>
  <si>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</si>
  <si>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</si>
  <si>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</si>
  <si>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</si>
  <si>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</si>
  <si>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</si>
  <si>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</si>
  <si>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</si>
  <si>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</si>
  <si>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</si>
  <si>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</si>
  <si>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</si>
  <si>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</si>
  <si>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</si>
  <si>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</si>
  <si>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</si>
  <si>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</si>
  <si>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</si>
  <si>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</si>
  <si>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</si>
  <si>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</si>
  <si>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</si>
  <si>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</si>
  <si>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</si>
  <si>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</si>
  <si>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</si>
  <si>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</si>
  <si>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</si>
  <si>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</si>
  <si>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</si>
  <si>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</si>
  <si>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</si>
  <si>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</si>
  <si>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</si>
  <si>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</si>
  <si>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</si>
  <si>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</si>
  <si>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</si>
  <si>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</si>
  <si>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</si>
  <si>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</si>
  <si>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</si>
  <si>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</si>
  <si>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</si>
  <si>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</si>
  <si>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</si>
  <si>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</si>
  <si>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</si>
  <si>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</si>
  <si>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</si>
  <si>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</si>
  <si>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</si>
  <si>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</si>
  <si>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</si>
  <si>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</si>
  <si>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</si>
  <si>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</si>
  <si>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</si>
  <si>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</si>
  <si>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</si>
  <si>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</si>
  <si>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</si>
  <si>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</si>
  <si>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</si>
  <si>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</si>
  <si>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</si>
  <si>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</si>
  <si>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</si>
  <si>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</si>
  <si>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</si>
  <si>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</si>
  <si>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</si>
  <si>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</si>
  <si>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</si>
  <si>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</si>
  <si>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</si>
  <si>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</si>
  <si>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</si>
  <si>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</si>
  <si>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</si>
  <si>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</si>
  <si>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</si>
  <si>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</si>
  <si>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</si>
  <si>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</si>
  <si>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</si>
  <si>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</si>
  <si>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</si>
  <si>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</si>
  <si>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</si>
  <si>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</si>
  <si>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</si>
  <si>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</si>
  <si>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</si>
  <si>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</si>
  <si>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</si>
  <si>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</si>
  <si>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</si>
  <si>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</si>
  <si>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</si>
  <si>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</si>
  <si>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</si>
  <si>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</si>
  <si>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</si>
  <si>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</si>
  <si>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</si>
  <si>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</si>
  <si>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</si>
  <si>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</si>
  <si>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</si>
  <si>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</si>
  <si>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</si>
  <si>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</si>
  <si>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</si>
  <si>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</si>
  <si>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</si>
  <si>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</si>
  <si>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</si>
  <si>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</si>
  <si>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</si>
  <si>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</si>
  <si>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</si>
  <si>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</si>
  <si>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</si>
  <si>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</si>
  <si>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</si>
  <si>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</si>
  <si>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</si>
  <si>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</si>
  <si>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</si>
  <si>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</si>
  <si>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</si>
  <si>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</si>
  <si>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</si>
  <si>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</si>
  <si>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</si>
  <si>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</si>
  <si>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</si>
  <si>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</si>
  <si>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</si>
  <si>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</si>
  <si>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</si>
  <si>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</si>
  <si>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</si>
  <si>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</si>
  <si>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</si>
  <si>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</si>
  <si>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</si>
  <si>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</si>
  <si>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</si>
  <si>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</si>
  <si>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</si>
  <si>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</si>
  <si>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</si>
  <si>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</si>
  <si>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</si>
  <si>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</si>
  <si>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</si>
  <si>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</si>
  <si>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</si>
  <si>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</si>
  <si>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</si>
  <si>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</si>
  <si>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</si>
  <si>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</si>
  <si>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</si>
  <si>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</si>
  <si>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</si>
  <si>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</si>
  <si>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</si>
  <si>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</si>
  <si>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</si>
  <si>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</si>
  <si>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</si>
  <si>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</si>
  <si>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</si>
  <si>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</si>
  <si>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</si>
  <si>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</si>
  <si>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</si>
  <si>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</si>
  <si>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</si>
  <si>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</si>
  <si>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</si>
  <si>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</si>
  <si>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</si>
  <si>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</si>
  <si>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</si>
  <si>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</si>
  <si>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</si>
  <si>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</si>
  <si>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</si>
  <si>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</si>
  <si>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</si>
  <si>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</si>
  <si>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</si>
  <si>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</si>
  <si>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</si>
  <si>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</si>
  <si>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</si>
  <si>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</si>
  <si>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</si>
  <si>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</si>
  <si>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</si>
  <si>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</si>
  <si>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</si>
  <si>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</si>
  <si>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</si>
  <si>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</si>
  <si>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</si>
  <si>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</si>
  <si>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</si>
  <si>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</si>
  <si>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</si>
  <si>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</si>
  <si>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</si>
  <si>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</si>
  <si>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</si>
  <si>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</si>
  <si>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</si>
  <si>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</si>
  <si>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</si>
  <si>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</si>
  <si>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</si>
  <si>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</si>
  <si>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</si>
  <si>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</si>
  <si>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</si>
  <si>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</si>
  <si>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</si>
  <si>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</si>
  <si>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</si>
  <si>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</si>
  <si>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</si>
  <si>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</si>
  <si>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</si>
  <si>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</si>
  <si>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</si>
  <si>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</si>
  <si>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</si>
  <si>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</si>
  <si>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</si>
  <si>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</si>
  <si>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</si>
  <si>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</si>
  <si>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</si>
  <si>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</si>
  <si>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</si>
  <si>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</si>
  <si>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</si>
  <si>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</si>
  <si>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</si>
  <si>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</si>
  <si>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</si>
  <si>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</si>
  <si>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</si>
  <si>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</si>
  <si>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</si>
  <si>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</si>
  <si>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</si>
  <si>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</si>
  <si>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</si>
  <si>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</si>
  <si>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</si>
  <si>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</si>
  <si>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</si>
  <si>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</si>
  <si>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</si>
  <si>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Регулируемая организация</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</si>
  <si>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</si>
  <si>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</si>
  <si>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</si>
  <si>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</si>
  <si>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</si>
  <si>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</si>
  <si>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</si>
  <si>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</si>
  <si>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</si>
  <si>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</si>
  <si>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</si>
  <si>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</si>
  <si>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</si>
  <si>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</si>
  <si>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</si>
  <si>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</si>
  <si>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</si>
  <si>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</si>
  <si>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</si>
  <si>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</si>
  <si>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</si>
  <si>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</si>
  <si>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</si>
  <si>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</si>
  <si>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</si>
  <si>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</si>
  <si>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</si>
  <si>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</si>
  <si>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</si>
  <si>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</si>
  <si>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</si>
  <si>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</si>
  <si>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</si>
  <si>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</si>
  <si>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</si>
  <si>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</si>
  <si>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</si>
  <si>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</si>
  <si>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</si>
  <si>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</si>
  <si>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</si>
  <si>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</si>
  <si>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</si>
  <si>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</si>
  <si>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</si>
  <si>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</si>
  <si>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</si>
  <si>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</si>
  <si>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</si>
  <si>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</si>
  <si>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</si>
  <si>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</si>
  <si>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</si>
  <si>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</si>
  <si>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</si>
  <si>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</si>
  <si>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</si>
  <si>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</si>
  <si>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</si>
  <si>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</si>
  <si>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</si>
  <si>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</si>
  <si>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</si>
  <si>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</si>
  <si>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</si>
  <si>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</si>
  <si>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</si>
  <si>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</si>
  <si>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</si>
  <si>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</si>
  <si>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</si>
  <si>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</si>
  <si>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</si>
  <si>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</si>
  <si>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</si>
  <si>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</si>
  <si>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</si>
  <si>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</si>
  <si>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</si>
  <si>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</si>
  <si>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</si>
  <si>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</si>
  <si>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</si>
  <si>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</si>
  <si>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</si>
  <si>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</si>
  <si>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</si>
  <si>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</si>
  <si>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</si>
  <si>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</si>
  <si>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</si>
  <si>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</si>
  <si>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</si>
  <si>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</si>
  <si>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</si>
  <si>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</si>
  <si>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</si>
  <si>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</si>
  <si>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</si>
  <si>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</si>
  <si>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</si>
  <si>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</si>
  <si>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</si>
  <si>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</si>
  <si>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</si>
  <si>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</si>
  <si>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</si>
  <si>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</si>
  <si>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</si>
  <si>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</si>
  <si>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</si>
  <si>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</si>
  <si>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</si>
  <si>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</si>
  <si>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</si>
  <si>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</si>
  <si>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</si>
  <si>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</si>
  <si>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</si>
  <si>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</si>
  <si>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налогообложение казённых учреждений</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</si>
  <si>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</si>
  <si>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</si>
  <si>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</si>
  <si>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</si>
  <si>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</si>
  <si>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</si>
  <si>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</si>
  <si>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</si>
  <si>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</si>
  <si>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</si>
  <si>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</si>
  <si>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</si>
  <si>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</si>
  <si>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</si>
  <si>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</si>
  <si>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</si>
  <si>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смешанное налогообложение</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</si>
  <si>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</si>
  <si>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</si>
  <si>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</si>
  <si>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</si>
  <si>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</si>
  <si>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</si>
  <si>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</si>
  <si>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</si>
  <si>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</si>
  <si>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</si>
  <si>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</si>
  <si>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</si>
  <si>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</si>
  <si>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</si>
  <si>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</si>
  <si>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</si>
  <si>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</si>
  <si>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</si>
  <si>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</si>
  <si>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</si>
  <si>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</si>
  <si>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</si>
  <si>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</si>
  <si>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</si>
  <si>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</si>
  <si>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</si>
  <si>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</si>
  <si>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</si>
  <si>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</si>
  <si>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</si>
  <si>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</si>
  <si>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</si>
  <si>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</si>
  <si>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</si>
  <si>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</si>
  <si>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</si>
  <si>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</si>
  <si>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</si>
  <si>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</si>
  <si>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</si>
  <si>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</si>
  <si>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</si>
  <si>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</si>
  <si>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</si>
  <si>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</si>
  <si>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</si>
  <si>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</si>
  <si>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</si>
  <si>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</si>
  <si>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</si>
  <si>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</si>
  <si>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</si>
  <si>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</si>
  <si>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</si>
  <si>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</si>
  <si>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</si>
  <si>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</si>
  <si>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</si>
  <si>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</si>
  <si>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</si>
  <si>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</si>
  <si>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</si>
  <si>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</si>
  <si>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</si>
  <si>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</si>
  <si>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</si>
  <si>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</si>
  <si>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</si>
  <si>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</si>
  <si>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</si>
  <si>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</si>
  <si>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</si>
  <si>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</si>
  <si>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</si>
  <si>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</si>
  <si>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</si>
  <si>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</si>
  <si>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</si>
  <si>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</si>
  <si>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</si>
  <si>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</si>
  <si>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</si>
  <si>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</si>
  <si>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</si>
  <si>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</si>
  <si>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</si>
  <si>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</si>
  <si>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</si>
  <si>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</si>
  <si>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</si>
  <si>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</si>
  <si>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</si>
  <si>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</si>
  <si>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</si>
  <si>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</si>
  <si>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</si>
  <si>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</si>
  <si>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</si>
  <si>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</si>
  <si>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</si>
  <si>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</si>
  <si>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</si>
  <si>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</si>
  <si>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</si>
  <si>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</si>
  <si>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</si>
  <si>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</si>
  <si>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</si>
  <si>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</si>
  <si>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</si>
  <si>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</si>
  <si>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</si>
  <si>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</si>
  <si>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</si>
  <si>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</si>
  <si>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</si>
  <si>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</si>
  <si>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</si>
  <si>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</si>
  <si>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</si>
  <si>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</si>
  <si>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</si>
  <si>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</si>
  <si>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</si>
  <si>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</si>
  <si>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</si>
  <si>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</si>
  <si>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</si>
  <si>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</si>
  <si>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</si>
  <si>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</si>
  <si>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</si>
  <si>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</si>
  <si>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</si>
  <si>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</si>
  <si>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</si>
  <si>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</si>
  <si>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</si>
  <si>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</si>
  <si>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</si>
  <si>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</si>
  <si>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</si>
  <si>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</si>
  <si>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</si>
  <si>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</si>
  <si>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</si>
  <si>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</si>
  <si>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</si>
  <si>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</si>
  <si>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</si>
  <si>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</si>
  <si>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</si>
  <si>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</si>
  <si>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</si>
  <si>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</si>
  <si>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</si>
  <si>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</si>
  <si>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</si>
  <si>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</si>
  <si>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</si>
  <si>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</si>
  <si>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</si>
  <si>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</si>
  <si>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</si>
  <si>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</si>
  <si>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</si>
  <si>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</si>
  <si>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</si>
  <si>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</si>
  <si>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</si>
  <si>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</si>
  <si>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</si>
  <si>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</si>
  <si>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</si>
  <si>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</si>
  <si>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</si>
  <si>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</si>
  <si>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</si>
  <si>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</si>
  <si>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</si>
  <si>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</si>
  <si>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</si>
  <si>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</si>
  <si>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</si>
  <si>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</si>
  <si>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</si>
  <si>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</si>
  <si>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</si>
  <si>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</si>
  <si>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</si>
  <si>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</si>
  <si>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</si>
  <si>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</si>
  <si>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</si>
  <si>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</si>
  <si>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</si>
  <si>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</si>
  <si>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</si>
  <si>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</si>
  <si>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</si>
  <si>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</si>
  <si>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</si>
  <si>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</si>
  <si>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</si>
  <si>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</si>
  <si>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</si>
  <si>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</si>
  <si>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</si>
  <si>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</si>
  <si>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</si>
  <si>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</si>
  <si>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</si>
  <si>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</si>
  <si>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</si>
  <si>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</si>
  <si>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</si>
  <si>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</si>
  <si>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</si>
  <si>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</si>
  <si>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</si>
  <si>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</si>
  <si>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</si>
  <si>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</si>
  <si>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</si>
  <si>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</si>
  <si>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</si>
  <si>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</si>
  <si>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</si>
  <si>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</si>
  <si>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</si>
  <si>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</si>
  <si>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</si>
  <si>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</si>
  <si>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</si>
  <si>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</si>
  <si>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</si>
  <si>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</si>
  <si>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</si>
  <si>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</si>
  <si>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</si>
  <si>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</si>
  <si>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</si>
  <si>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</si>
  <si>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</si>
  <si>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</si>
  <si>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</si>
  <si>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</si>
  <si>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</si>
  <si>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</si>
  <si>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</si>
  <si>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</si>
  <si>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</si>
  <si>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</si>
  <si>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</si>
  <si>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</si>
  <si>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</si>
  <si>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</si>
  <si>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</si>
  <si>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</si>
  <si>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</si>
  <si>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</si>
  <si>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</si>
  <si>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</si>
  <si>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</si>
  <si>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</si>
  <si>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</si>
  <si>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</si>
  <si>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</si>
  <si>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</si>
  <si>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P</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</si>
  <si>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</si>
  <si>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</si>
  <si>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</si>
  <si>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</si>
  <si>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</si>
  <si>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</si>
  <si>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</si>
  <si>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</si>
  <si>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</si>
  <si>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</si>
  <si>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</si>
  <si>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Q</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</si>
  <si>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</si>
  <si>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</si>
  <si>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</si>
  <si>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</si>
  <si>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</si>
  <si>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</si>
  <si>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</si>
  <si>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</si>
  <si>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</si>
  <si>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</si>
  <si>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</si>
  <si>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</si>
  <si>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</si>
  <si>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</si>
  <si>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</si>
  <si>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</si>
  <si>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</si>
  <si>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</si>
  <si>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</si>
  <si>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</si>
  <si>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</si>
  <si>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</si>
  <si>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</si>
  <si>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</si>
  <si>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</si>
  <si>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</si>
  <si>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</si>
  <si>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</si>
  <si>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</si>
  <si>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</si>
  <si>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</si>
  <si>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</si>
  <si>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</si>
  <si>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</si>
  <si>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</si>
  <si>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</si>
  <si>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</si>
  <si>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</si>
  <si>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</si>
  <si>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</si>
  <si>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</si>
  <si>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</si>
  <si>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</si>
  <si>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</si>
  <si>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</si>
  <si>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</si>
  <si>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</si>
  <si>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</si>
  <si>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</si>
  <si>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</si>
  <si>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</si>
  <si>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</si>
  <si>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</si>
  <si>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</si>
  <si>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</si>
  <si>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</si>
  <si>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</si>
  <si>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</si>
  <si>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</si>
  <si>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</si>
  <si>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</si>
  <si>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</si>
  <si>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</si>
  <si>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</si>
  <si>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</si>
  <si>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</si>
  <si>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Рязанская область</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</si>
  <si>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</si>
  <si>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</si>
  <si>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</si>
  <si>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</si>
  <si>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</si>
  <si>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</si>
  <si>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</si>
  <si>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</si>
  <si>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</si>
  <si>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</si>
  <si>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</si>
  <si>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</si>
  <si>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</si>
  <si>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</si>
  <si>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</si>
  <si>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</si>
  <si>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</si>
  <si>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</si>
  <si>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</si>
  <si>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</si>
  <si>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</si>
  <si>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</si>
  <si>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</si>
  <si>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</si>
  <si>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</si>
  <si>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</si>
  <si>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</si>
  <si>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</si>
  <si>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</si>
  <si>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</si>
  <si>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</si>
  <si>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</si>
  <si>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</si>
  <si>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</si>
  <si>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</si>
  <si>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</si>
  <si>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</si>
  <si>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</si>
  <si>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</si>
  <si>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</si>
  <si>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</si>
  <si>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</si>
  <si>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</si>
  <si>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</si>
  <si>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</si>
  <si>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</si>
  <si>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</si>
  <si>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</si>
  <si>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</si>
  <si>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</si>
  <si>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</si>
  <si>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</si>
  <si>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</si>
  <si>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</si>
  <si>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</si>
  <si>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</si>
  <si>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</si>
  <si>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</si>
  <si>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</si>
  <si>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</si>
  <si>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</si>
  <si>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</si>
  <si>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</si>
  <si>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</si>
  <si>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</si>
  <si>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</si>
  <si>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</si>
  <si>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</si>
  <si>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</si>
  <si>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</si>
  <si>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</si>
  <si>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</si>
  <si>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</si>
  <si>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</si>
  <si>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</si>
  <si>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</si>
  <si>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</si>
  <si>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</si>
  <si>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</si>
  <si>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</si>
  <si>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</si>
  <si>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</si>
  <si>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</si>
  <si>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</si>
  <si>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</si>
  <si>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</si>
  <si>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</si>
  <si>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</si>
  <si>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</si>
  <si>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ROIV_INFO_LIST_HEAT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</si>
  <si>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</si>
  <si>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</si>
  <si>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</si>
  <si>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</si>
  <si>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</si>
  <si>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</si>
  <si>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</si>
  <si>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</si>
  <si>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</si>
  <si>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</si>
  <si>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</si>
  <si>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</si>
  <si>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</si>
  <si>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</si>
  <si>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</si>
  <si>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</si>
  <si>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</si>
  <si>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</si>
  <si>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</si>
  <si>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</si>
  <si>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</si>
  <si>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информация о принятых решениях об установлении тарифов</t>
  </si>
  <si>
    <t xml:space="preserve">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</si>
  <si>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</si>
  <si>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</si>
  <si>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 xml:space="preserve">утилизация</t>
  </si>
  <si>
    <t xml:space="preserve">протокол заседания правления</t>
  </si>
  <si>
    <t xml:space="preserve">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</si>
  <si>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</si>
  <si>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</si>
  <si>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</si>
  <si>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</si>
  <si>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 xml:space="preserve">UNIT_CONNECT_LIST</t>
  </si>
  <si>
    <t xml:space="preserve">тыс.руб./Гкал/ч</t>
  </si>
  <si>
    <t xml:space="preserve">тыс.руб.</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</si>
  <si>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</si>
  <si>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</si>
  <si>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</si>
  <si>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</si>
  <si>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</si>
  <si>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</si>
  <si>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</si>
  <si>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</si>
  <si>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ROIV_INFO_LIST_NO_HEAT</t>
  </si>
  <si>
    <t xml:space="preserve">HEAT_PT_SCHEME</t>
  </si>
  <si>
    <t xml:space="preserve">Фамилия, имя и отчество (при наличии) руководителя:</t>
  </si>
  <si>
    <t xml:space="preserve">фамилия</t>
  </si>
  <si>
    <t xml:space="preserve">Указывается фамилия руководителя в соответствии с паспортными данными физического лица.</t>
  </si>
  <si>
    <t xml:space="preserve">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</si>
  <si>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</si>
  <si>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</si>
  <si>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</si>
  <si>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</si>
  <si>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</si>
  <si>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</si>
  <si>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</si>
  <si>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</si>
  <si>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</si>
  <si>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</si>
  <si>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</si>
  <si>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</si>
  <si>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</si>
  <si>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</si>
  <si>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</si>
  <si>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 xml:space="preserve">дата</t>
  </si>
  <si>
    <t xml:space="preserve">время</t>
  </si>
  <si>
    <t xml:space="preserve">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</si>
  <si>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</si>
  <si>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</si>
  <si>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</si>
  <si>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</si>
  <si>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</si>
  <si>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</si>
  <si>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</si>
  <si>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</si>
  <si>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</si>
  <si>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</si>
  <si>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</si>
  <si>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</si>
  <si>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</si>
  <si>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</si>
  <si>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</si>
  <si>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</si>
  <si>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</si>
  <si>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</si>
  <si>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</si>
  <si>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</si>
  <si>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</si>
  <si>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</si>
  <si>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Комментарии</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</si>
  <si>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</si>
  <si>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</si>
  <si>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</si>
  <si>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</si>
  <si>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</si>
  <si>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</si>
  <si>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</si>
  <si>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</si>
  <si>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</si>
  <si>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</si>
  <si>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</si>
  <si>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</si>
  <si>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</si>
  <si>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et_ORG_INFO_3</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</si>
  <si>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</si>
  <si>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</si>
  <si>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</si>
  <si>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</si>
  <si>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</si>
  <si>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</si>
  <si>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</si>
  <si>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</si>
  <si>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</si>
  <si>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источник финансирования</t>
  </si>
  <si>
    <t xml:space="preserve">Добавить объект инфраструктуры</t>
  </si>
  <si>
    <t xml:space="preserve">Добавить мероприятие</t>
  </si>
  <si>
    <t xml:space="preserve">et_IP_DETAILED_OBJECT</t>
  </si>
  <si>
    <t xml:space="preserve">et_IP_DETAILED_IST_FIN</t>
  </si>
  <si>
    <t xml:space="preserve">et_IP_DETAILED_EVENT</t>
  </si>
  <si>
    <t xml:space="preserve">et_QRE</t>
  </si>
  <si>
    <t xml:space="preserve">Добавить цель</t>
  </si>
  <si>
    <t xml:space="preserve">et_B_FHD20_1_NOT_HEAT</t>
  </si>
  <si>
    <t xml:space="preserve">Добавить поставщика</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</si>
  <si>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</si>
  <si>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</si>
  <si>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</si>
  <si>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</si>
  <si>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</si>
  <si>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</si>
  <si>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</si>
  <si>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</si>
  <si>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</si>
  <si>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</si>
  <si>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</si>
  <si>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</si>
  <si>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</si>
  <si>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</si>
  <si>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</si>
  <si>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</si>
  <si>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</si>
  <si>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</si>
  <si>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</si>
  <si>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</si>
  <si>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</si>
  <si>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</si>
  <si>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</si>
  <si>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</si>
  <si>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</si>
  <si>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</si>
  <si>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</si>
  <si>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</si>
  <si>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</si>
  <si>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</si>
  <si>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</si>
  <si>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</si>
  <si>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</si>
  <si>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</si>
  <si>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</si>
  <si>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</si>
  <si>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</si>
  <si>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</si>
  <si>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</si>
  <si>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</si>
  <si>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</si>
  <si>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</si>
  <si>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</si>
  <si>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</si>
  <si>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</si>
  <si>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</si>
  <si>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</si>
  <si>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</si>
  <si>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</si>
  <si>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</si>
  <si>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</si>
  <si>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</si>
  <si>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</si>
  <si>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</si>
  <si>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</si>
  <si>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</si>
  <si>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</si>
  <si>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</si>
  <si>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</si>
  <si>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</si>
  <si>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</si>
  <si>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</si>
  <si>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</si>
  <si>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</si>
  <si>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</si>
  <si>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</si>
  <si>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</si>
  <si>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</si>
  <si>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</si>
  <si>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</si>
  <si>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</si>
  <si>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</si>
  <si>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</si>
  <si>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</si>
  <si>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</si>
  <si>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</si>
  <si>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</si>
  <si>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</si>
  <si>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</si>
  <si>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</si>
  <si>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</si>
  <si>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</si>
  <si>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</si>
  <si>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</si>
  <si>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</si>
  <si>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</si>
  <si>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</si>
  <si>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</si>
  <si>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</si>
  <si>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</si>
  <si>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</si>
  <si>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</si>
  <si>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</si>
  <si>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</si>
  <si>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</si>
  <si>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</si>
  <si>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</si>
  <si>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</si>
  <si>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</si>
  <si>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</si>
  <si>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</si>
  <si>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</si>
  <si>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</si>
  <si>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</si>
  <si>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</si>
  <si>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</si>
  <si>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</si>
  <si>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</si>
  <si>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</si>
  <si>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</si>
  <si>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</si>
  <si>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</si>
  <si>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</si>
  <si>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</si>
  <si>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</si>
  <si>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</si>
  <si>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</si>
  <si>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</si>
  <si>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</si>
  <si>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</si>
  <si>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</si>
  <si>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</si>
  <si>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</si>
  <si>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</si>
  <si>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</si>
  <si>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</si>
  <si>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</si>
  <si>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</si>
  <si>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</si>
  <si>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</si>
  <si>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6.2</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</si>
  <si>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</si>
  <si>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</si>
  <si>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</si>
  <si>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</si>
  <si>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</si>
  <si>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</si>
  <si>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</si>
  <si>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</si>
  <si>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</si>
  <si>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</si>
  <si>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</si>
  <si>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</si>
  <si>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</si>
  <si>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</si>
  <si>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</si>
  <si>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</si>
  <si>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</si>
  <si>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</si>
  <si>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</si>
  <si>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</si>
  <si>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</si>
  <si>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</si>
  <si>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</si>
  <si>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</si>
  <si>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</si>
  <si>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</si>
  <si>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</si>
  <si>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</si>
  <si>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</si>
  <si>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</si>
  <si>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</si>
  <si>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</si>
  <si>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</si>
  <si>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</si>
  <si>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</si>
  <si>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</si>
  <si>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</si>
  <si>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</si>
  <si>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</si>
  <si>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</si>
  <si>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</si>
  <si>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</si>
  <si>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</si>
  <si>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</si>
  <si>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</si>
  <si>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</si>
  <si>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</si>
  <si>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</si>
  <si>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</si>
  <si>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</si>
  <si>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</si>
  <si>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</si>
  <si>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</si>
  <si>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</si>
  <si>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</si>
  <si>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</si>
  <si>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</si>
  <si>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</si>
  <si>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</si>
  <si>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</si>
  <si>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</si>
  <si>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</si>
  <si>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</si>
  <si>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</si>
  <si>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</si>
  <si>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</si>
  <si>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</si>
  <si>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</si>
  <si>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</si>
  <si>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</si>
  <si>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</si>
  <si>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</si>
  <si>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</si>
  <si>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</si>
  <si>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</si>
  <si>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</si>
  <si>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</si>
  <si>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</si>
  <si>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</si>
  <si>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</si>
  <si>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</si>
  <si>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</si>
  <si>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</si>
  <si>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</si>
  <si>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Изменения стоимости основных фондов за счет их ввода в эксплуатацию</t>
  </si>
  <si>
    <t xml:space="preserve">Изменение стоимости основных фондов за счет их ввода в эксплуатацию</t>
  </si>
  <si>
    <t xml:space="preserve">5.1.2</t>
  </si>
  <si>
    <t xml:space="preserve">Изменения стоимости основных фондов за счет их вывода в эксплуатацию</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</si>
  <si>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</si>
  <si>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</si>
  <si>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</si>
  <si>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</si>
  <si>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</si>
  <si>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</si>
  <si>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</si>
  <si>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</si>
  <si>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</si>
  <si>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</si>
  <si>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</si>
  <si>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</si>
  <si>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</si>
  <si>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</si>
  <si>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</si>
  <si>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</si>
  <si>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</si>
  <si>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</si>
  <si>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</si>
  <si>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</si>
  <si>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</si>
  <si>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</si>
  <si>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</si>
  <si>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</si>
  <si>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</si>
  <si>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</si>
  <si>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</si>
  <si>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</si>
  <si>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</si>
  <si>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</si>
  <si>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</si>
  <si>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</si>
  <si>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</si>
  <si>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</si>
  <si>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</si>
  <si>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</si>
  <si>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</si>
  <si>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</si>
  <si>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</si>
  <si>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</si>
  <si>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</si>
  <si>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</si>
  <si>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</si>
  <si>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</si>
  <si>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</si>
  <si>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</si>
  <si>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</si>
  <si>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</si>
  <si>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</si>
  <si>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</si>
  <si>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</si>
  <si>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</si>
  <si>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</si>
  <si>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Фактический объем потерь при передаче тепловой энергии</t>
  </si>
  <si>
    <t xml:space="preserve">о</t>
  </si>
  <si>
    <t xml:space="preserve">Среднесписочная численность основного производственного персонала</t>
  </si>
  <si>
    <t xml:space="preserve">п</t>
  </si>
  <si>
    <t xml:space="preserve">Среднесписочная численность административно-управленческого персонала</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</si>
  <si>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</si>
  <si>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</si>
  <si>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</si>
  <si>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</si>
  <si>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</si>
  <si>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</si>
  <si>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</si>
  <si>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</si>
  <si>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</si>
  <si>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</si>
  <si>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</si>
  <si>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</si>
  <si>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</si>
  <si>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</si>
  <si>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</si>
  <si>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</si>
  <si>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</si>
  <si>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</si>
  <si>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</si>
  <si>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</si>
  <si>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</si>
  <si>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</si>
  <si>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</si>
  <si>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</si>
  <si>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</si>
  <si>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</si>
  <si>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</si>
  <si>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</si>
  <si>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</si>
  <si>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</si>
  <si>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</si>
  <si>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</si>
  <si>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</si>
  <si>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</si>
  <si>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</si>
  <si>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</si>
  <si>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</si>
  <si>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</si>
  <si>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</si>
  <si>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</si>
  <si>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</si>
  <si>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</si>
  <si>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</si>
  <si>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</si>
  <si>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</si>
  <si>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</si>
  <si>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2603</t>
  </si>
  <si>
    <t xml:space="preserve">26483206</t>
  </si>
  <si>
    <t xml:space="preserve">"Ярославский электровозоремонтный завод" им. Б.П. Бещева - филиал ОАО "Желдорреммаш"</t>
  </si>
  <si>
    <t xml:space="preserve">7715729877</t>
  </si>
  <si>
    <t xml:space="preserve">760443001</t>
  </si>
  <si>
    <t xml:space="preserve">26483393</t>
  </si>
  <si>
    <t xml:space="preserve">АО "Воентелеком"</t>
  </si>
  <si>
    <t xml:space="preserve">7718766718</t>
  </si>
  <si>
    <t xml:space="preserve">761043001</t>
  </si>
  <si>
    <t xml:space="preserve">18-06-2012 00:00:00</t>
  </si>
  <si>
    <t xml:space="preserve">26560525</t>
  </si>
  <si>
    <t xml:space="preserve">АО "ГУ ЖКХ"</t>
  </si>
  <si>
    <t xml:space="preserve">5116000922</t>
  </si>
  <si>
    <t xml:space="preserve">511601001</t>
  </si>
  <si>
    <t xml:space="preserve">13-05-2009 00:00:00</t>
  </si>
  <si>
    <t xml:space="preserve">26483350</t>
  </si>
  <si>
    <t xml:space="preserve">АО "Гаврилов-Ямский машиностроительный завод "Агат"</t>
  </si>
  <si>
    <t xml:space="preserve">7616002417</t>
  </si>
  <si>
    <t xml:space="preserve">761601001</t>
  </si>
  <si>
    <t xml:space="preserve">28135188</t>
  </si>
  <si>
    <t xml:space="preserve">АО "Газпромнефть-Терминал"</t>
  </si>
  <si>
    <t xml:space="preserve">5406724282</t>
  </si>
  <si>
    <t xml:space="preserve">540601001</t>
  </si>
  <si>
    <t xml:space="preserve">01-01-2013 00:00:00</t>
  </si>
  <si>
    <t xml:space="preserve">20-12-2020 00:00:00</t>
  </si>
  <si>
    <t xml:space="preserve">26483474</t>
  </si>
  <si>
    <t xml:space="preserve">АО "Даниловское ЖКХ"</t>
  </si>
  <si>
    <t xml:space="preserve">7617008098</t>
  </si>
  <si>
    <t xml:space="preserve">761701001</t>
  </si>
  <si>
    <t xml:space="preserve">26483427</t>
  </si>
  <si>
    <t xml:space="preserve">АО "Консервный завод "Поречский"</t>
  </si>
  <si>
    <t xml:space="preserve">7609015486</t>
  </si>
  <si>
    <t xml:space="preserve">760901001</t>
  </si>
  <si>
    <t xml:space="preserve">28822308</t>
  </si>
  <si>
    <t xml:space="preserve">АО "Малая комплексная энергетика"</t>
  </si>
  <si>
    <t xml:space="preserve">7612043797</t>
  </si>
  <si>
    <t xml:space="preserve">760601001</t>
  </si>
  <si>
    <t xml:space="preserve">26483153</t>
  </si>
  <si>
    <t xml:space="preserve">АО "Новый мир"</t>
  </si>
  <si>
    <t xml:space="preserve">7608001240</t>
  </si>
  <si>
    <t xml:space="preserve">760801001</t>
  </si>
  <si>
    <t xml:space="preserve">26483200</t>
  </si>
  <si>
    <t xml:space="preserve">АО "Норский керамический завод"</t>
  </si>
  <si>
    <t xml:space="preserve">7602013169</t>
  </si>
  <si>
    <t xml:space="preserve">760201001</t>
  </si>
  <si>
    <t xml:space="preserve">26514573</t>
  </si>
  <si>
    <t xml:space="preserve">АО "Первомайское коммунальное хозяйство"</t>
  </si>
  <si>
    <t xml:space="preserve">7623004895</t>
  </si>
  <si>
    <t xml:space="preserve">762301001</t>
  </si>
  <si>
    <t xml:space="preserve">26901857</t>
  </si>
  <si>
    <t xml:space="preserve">АО "РЭУ"</t>
  </si>
  <si>
    <t xml:space="preserve">7714783092</t>
  </si>
  <si>
    <t xml:space="preserve">332743001</t>
  </si>
  <si>
    <t xml:space="preserve">26483340</t>
  </si>
  <si>
    <t xml:space="preserve">АО "Ресурс"</t>
  </si>
  <si>
    <t xml:space="preserve">7616009483</t>
  </si>
  <si>
    <t xml:space="preserve">26483220</t>
  </si>
  <si>
    <t xml:space="preserve">АО "Русские краски"</t>
  </si>
  <si>
    <t xml:space="preserve">7605015012</t>
  </si>
  <si>
    <t xml:space="preserve">760501001</t>
  </si>
  <si>
    <t xml:space="preserve">05-08-2002 00:00:00</t>
  </si>
  <si>
    <t xml:space="preserve">26483401</t>
  </si>
  <si>
    <t xml:space="preserve">АО "Рыбинский завод приборостроения"</t>
  </si>
  <si>
    <t xml:space="preserve">7610062970</t>
  </si>
  <si>
    <t xml:space="preserve">761001001</t>
  </si>
  <si>
    <t xml:space="preserve">26483176</t>
  </si>
  <si>
    <t xml:space="preserve">АО "Старк-Ресурс"</t>
  </si>
  <si>
    <t xml:space="preserve">7601001072</t>
  </si>
  <si>
    <t xml:space="preserve">760401001</t>
  </si>
  <si>
    <t xml:space="preserve">28134686</t>
  </si>
  <si>
    <t xml:space="preserve">АО "Тутаевская ПГУ"</t>
  </si>
  <si>
    <t xml:space="preserve">7611020204</t>
  </si>
  <si>
    <t xml:space="preserve">761101001</t>
  </si>
  <si>
    <t xml:space="preserve">26483196</t>
  </si>
  <si>
    <t xml:space="preserve">АО "Хром"</t>
  </si>
  <si>
    <t xml:space="preserve">7601001724</t>
  </si>
  <si>
    <t xml:space="preserve">28507030</t>
  </si>
  <si>
    <t xml:space="preserve">АО "Яркоммунсервис"</t>
  </si>
  <si>
    <t xml:space="preserve">7602090950</t>
  </si>
  <si>
    <t xml:space="preserve">06-04-2012 00:00:00</t>
  </si>
  <si>
    <t xml:space="preserve">26483230</t>
  </si>
  <si>
    <t xml:space="preserve">АО "Ярославльводоканал"</t>
  </si>
  <si>
    <t xml:space="preserve">7606069518</t>
  </si>
  <si>
    <t xml:space="preserve">26569087</t>
  </si>
  <si>
    <t xml:space="preserve">АО "Ярославская генерирующая компания"</t>
  </si>
  <si>
    <t xml:space="preserve">7604178769</t>
  </si>
  <si>
    <t xml:space="preserve">30919361</t>
  </si>
  <si>
    <t xml:space="preserve">АО "Ярославские ЭнергоСистемы"</t>
  </si>
  <si>
    <t xml:space="preserve">7603066822</t>
  </si>
  <si>
    <t xml:space="preserve">27-01-2017 00:00:00</t>
  </si>
  <si>
    <t xml:space="preserve">26483194</t>
  </si>
  <si>
    <t xml:space="preserve">АО "Ярославский вагоноремонтный завод "Ремпутьмаш"</t>
  </si>
  <si>
    <t xml:space="preserve">7603030907</t>
  </si>
  <si>
    <t xml:space="preserve">26811543</t>
  </si>
  <si>
    <t xml:space="preserve">АО "Ярославский технический углерод имени В.Ю. Орлова"</t>
  </si>
  <si>
    <t xml:space="preserve">7605000714</t>
  </si>
  <si>
    <t xml:space="preserve">760450001</t>
  </si>
  <si>
    <t xml:space="preserve">26483352</t>
  </si>
  <si>
    <t xml:space="preserve">Великосельское МП ЖКХ</t>
  </si>
  <si>
    <t xml:space="preserve">7616006563</t>
  </si>
  <si>
    <t xml:space="preserve">26526739</t>
  </si>
  <si>
    <t xml:space="preserve">Вологодский территориальный участок северной дирекции по тепловодоснабжению - структурного подразделения центральной дирекции по тепловодоснабжению  филиала ОАО "РЖД"</t>
  </si>
  <si>
    <t xml:space="preserve">7708503727</t>
  </si>
  <si>
    <t xml:space="preserve">997650008</t>
  </si>
  <si>
    <t xml:space="preserve">31-12-2012 00:00:00</t>
  </si>
  <si>
    <t xml:space="preserve">26483226</t>
  </si>
  <si>
    <t xml:space="preserve">ГОУ ВПО "Ярославское высшее зенитное ракетное училище ПВО (военный институт) МО РФ (передача)</t>
  </si>
  <si>
    <t xml:space="preserve">7605011642</t>
  </si>
  <si>
    <t xml:space="preserve">31-12-2013 00:00:00</t>
  </si>
  <si>
    <t xml:space="preserve">26483369</t>
  </si>
  <si>
    <t xml:space="preserve">ГП ЯО "Северный водоканал"</t>
  </si>
  <si>
    <t xml:space="preserve">7610012391</t>
  </si>
  <si>
    <t xml:space="preserve">30808282</t>
  </si>
  <si>
    <t xml:space="preserve">ГП ЯО "Южный водоканал"</t>
  </si>
  <si>
    <t xml:space="preserve">7609036849</t>
  </si>
  <si>
    <t xml:space="preserve">26483498</t>
  </si>
  <si>
    <t xml:space="preserve">ГУП ЖКХ ЯО "Яркоммунсервис"</t>
  </si>
  <si>
    <t xml:space="preserve">7604004508</t>
  </si>
  <si>
    <t xml:space="preserve">05-04-2012 00:00:00</t>
  </si>
  <si>
    <t xml:space="preserve">26483312</t>
  </si>
  <si>
    <t xml:space="preserve">ГУП ЖКХ ЯО "Яркоммунсервис"  п. Сосновый Бор (ГУ ЯО ОТБ)</t>
  </si>
  <si>
    <t xml:space="preserve">760201002</t>
  </si>
  <si>
    <t xml:space="preserve">22-08-2011 00:00:00</t>
  </si>
  <si>
    <t xml:space="preserve">26483423</t>
  </si>
  <si>
    <t xml:space="preserve">ГУП ЖКХ ЯО "Яркоммунсервис" (ГУЗ ЯО ДСС "Итларь")</t>
  </si>
  <si>
    <t xml:space="preserve">760932001</t>
  </si>
  <si>
    <t xml:space="preserve">26483282</t>
  </si>
  <si>
    <t xml:space="preserve">ГУП ЖКХ ЯО "Яркоммунсервис" (Красноборская школа)</t>
  </si>
  <si>
    <t xml:space="preserve">761132001</t>
  </si>
  <si>
    <t xml:space="preserve">26483316</t>
  </si>
  <si>
    <t xml:space="preserve">ГУП ЖКХ ЯО "Яркоммунсервис" (ОДТС "Бабайки")</t>
  </si>
  <si>
    <t xml:space="preserve">762132002</t>
  </si>
  <si>
    <t xml:space="preserve">26526441</t>
  </si>
  <si>
    <t xml:space="preserve">ГУП ЖКХ ЯО "Яркоммунсервис" д. Сельцо</t>
  </si>
  <si>
    <t xml:space="preserve">760201008</t>
  </si>
  <si>
    <t xml:space="preserve">26483276</t>
  </si>
  <si>
    <t xml:space="preserve">ГУП ЖКХ ЯО "Яркоммунсервис" кот. Туношенского дома для престарелых и инвалидов</t>
  </si>
  <si>
    <t xml:space="preserve">762732002</t>
  </si>
  <si>
    <t xml:space="preserve">26483222</t>
  </si>
  <si>
    <t xml:space="preserve">ГУП ЖКХ ЯО "Яркоммунсервис" кот. Центра дет. и юношеского туризма</t>
  </si>
  <si>
    <t xml:space="preserve">760332001</t>
  </si>
  <si>
    <t xml:space="preserve">26483330</t>
  </si>
  <si>
    <t xml:space="preserve">ГУП ЖКХ ЯО "Яркоммунсервис" кот. п. Красный Профинтерн</t>
  </si>
  <si>
    <t xml:space="preserve">26483354</t>
  </si>
  <si>
    <t xml:space="preserve">ГУП ЖКХ ЯО "Яркоммунсервис" кот. произв. лицея №46</t>
  </si>
  <si>
    <t xml:space="preserve">761432001</t>
  </si>
  <si>
    <t xml:space="preserve">26483326</t>
  </si>
  <si>
    <t xml:space="preserve">ГУП ЖКХ ЯО "Яркоммунсервис" п. Вятское (ГОУ Учебный центр УВД)</t>
  </si>
  <si>
    <t xml:space="preserve">762132004</t>
  </si>
  <si>
    <t xml:space="preserve">26483318</t>
  </si>
  <si>
    <t xml:space="preserve">ГУП ЖКХ ЯО "Яркоммунсервис" п. Некрасовское (дом-инт. для престарелых и инвалидов)</t>
  </si>
  <si>
    <t xml:space="preserve">762132003</t>
  </si>
  <si>
    <t xml:space="preserve">26483334</t>
  </si>
  <si>
    <t xml:space="preserve">ГУП ЖКХ ЯО "Яркоммунсервис" п.Строитель</t>
  </si>
  <si>
    <t xml:space="preserve">762132006</t>
  </si>
  <si>
    <t xml:space="preserve">31-12-2010 00:00:00</t>
  </si>
  <si>
    <t xml:space="preserve">26649207</t>
  </si>
  <si>
    <t xml:space="preserve">ГУП ЖКХ ЯО "Яркоммунсервис" передача т/э ПСО</t>
  </si>
  <si>
    <t xml:space="preserve">762132009</t>
  </si>
  <si>
    <t xml:space="preserve">26526443</t>
  </si>
  <si>
    <t xml:space="preserve">ГУП ЖКХ ЯО "Яркоммунсервис" пос. Брейтово</t>
  </si>
  <si>
    <t xml:space="preserve">760201009</t>
  </si>
  <si>
    <t xml:space="preserve">26649196</t>
  </si>
  <si>
    <t xml:space="preserve">ГУП ЖКХ ЯО "Яркоммунсервис" пос. Искра Октября</t>
  </si>
  <si>
    <t xml:space="preserve">762132007</t>
  </si>
  <si>
    <t xml:space="preserve">26649201</t>
  </si>
  <si>
    <t xml:space="preserve">ГУП ЖКХ ЯО "Яркоммунсервис" пос. Микляиха</t>
  </si>
  <si>
    <t xml:space="preserve">762132008</t>
  </si>
  <si>
    <t xml:space="preserve">26649187</t>
  </si>
  <si>
    <t xml:space="preserve">ГУП ЖКХ ЯО "Яркоммунсервис" с. Горинское</t>
  </si>
  <si>
    <t xml:space="preserve">762132001</t>
  </si>
  <si>
    <t xml:space="preserve">26526439</t>
  </si>
  <si>
    <t xml:space="preserve">ГУП ЖКХ ЯО "Яркоммунсервис" с. Кривец</t>
  </si>
  <si>
    <t xml:space="preserve">760201007</t>
  </si>
  <si>
    <t xml:space="preserve">26526434</t>
  </si>
  <si>
    <t xml:space="preserve">ГУП ЖКХ ЯО "Яркоммунсервис" с. Новое</t>
  </si>
  <si>
    <t xml:space="preserve">760201005</t>
  </si>
  <si>
    <t xml:space="preserve">26483268</t>
  </si>
  <si>
    <t xml:space="preserve">ГУП ЖКХ ЯО "Яркоммунсервис" с. Спасское (ГУ ЯО ОПБ)</t>
  </si>
  <si>
    <t xml:space="preserve">762732001</t>
  </si>
  <si>
    <t xml:space="preserve">26483344</t>
  </si>
  <si>
    <t xml:space="preserve">ГУП ЖКХ ЯО "Яркоммунсервис" с. Стогинское</t>
  </si>
  <si>
    <t xml:space="preserve">761632001</t>
  </si>
  <si>
    <t xml:space="preserve">26483348</t>
  </si>
  <si>
    <t xml:space="preserve">ГУП санаторий-профилакторий "Сосновый бор"</t>
  </si>
  <si>
    <t xml:space="preserve">7616001068</t>
  </si>
  <si>
    <t xml:space="preserve">09-04-2015 00:00:00</t>
  </si>
  <si>
    <t xml:space="preserve">26649226</t>
  </si>
  <si>
    <t xml:space="preserve">Гаврилов-Ямское МП ЖКХ</t>
  </si>
  <si>
    <t xml:space="preserve">7616000650</t>
  </si>
  <si>
    <t xml:space="preserve">761601002</t>
  </si>
  <si>
    <t xml:space="preserve">21-02-2012 00:00:00</t>
  </si>
  <si>
    <t xml:space="preserve">26483431</t>
  </si>
  <si>
    <t xml:space="preserve">ЗАО "Атрус"</t>
  </si>
  <si>
    <t xml:space="preserve">7609002208</t>
  </si>
  <si>
    <t xml:space="preserve">16-09-1996 00:00:00</t>
  </si>
  <si>
    <t xml:space="preserve">26483190</t>
  </si>
  <si>
    <t xml:space="preserve">ЗАО "Волгаэнергоресурс"</t>
  </si>
  <si>
    <t xml:space="preserve">7602053796</t>
  </si>
  <si>
    <t xml:space="preserve">760101001</t>
  </si>
  <si>
    <t xml:space="preserve">26524660</t>
  </si>
  <si>
    <t xml:space="preserve">ЗАО "Железобетон"</t>
  </si>
  <si>
    <t xml:space="preserve">7601000262</t>
  </si>
  <si>
    <t xml:space="preserve">29-10-2015 00:00:00</t>
  </si>
  <si>
    <t xml:space="preserve">26525046</t>
  </si>
  <si>
    <t xml:space="preserve">26483294</t>
  </si>
  <si>
    <t xml:space="preserve">ЗАО "Залесье"</t>
  </si>
  <si>
    <t xml:space="preserve">7610043640</t>
  </si>
  <si>
    <t xml:space="preserve">01-01-2011 00:00:00</t>
  </si>
  <si>
    <t xml:space="preserve">26524656</t>
  </si>
  <si>
    <t xml:space="preserve">ЗАО "Лакокраска-ресурс"</t>
  </si>
  <si>
    <t xml:space="preserve">7602059910</t>
  </si>
  <si>
    <t xml:space="preserve">26483320</t>
  </si>
  <si>
    <t xml:space="preserve">ЗАО "Левашово"</t>
  </si>
  <si>
    <t xml:space="preserve">7621000461</t>
  </si>
  <si>
    <t xml:space="preserve">762101001</t>
  </si>
  <si>
    <t xml:space="preserve">26514513</t>
  </si>
  <si>
    <t xml:space="preserve">ЗАО "Пансионат отдыха "Ярославль"</t>
  </si>
  <si>
    <t xml:space="preserve">7627015577</t>
  </si>
  <si>
    <t xml:space="preserve">762701001</t>
  </si>
  <si>
    <t xml:space="preserve">26483278</t>
  </si>
  <si>
    <t xml:space="preserve">ЗАО "Производственная компания "Ярославич"</t>
  </si>
  <si>
    <t xml:space="preserve">7627002151</t>
  </si>
  <si>
    <t xml:space="preserve">18-11-2011 00:00:00</t>
  </si>
  <si>
    <t xml:space="preserve">26483415</t>
  </si>
  <si>
    <t xml:space="preserve">ЗАО "Ростовавторемонт"</t>
  </si>
  <si>
    <t xml:space="preserve">7609019716</t>
  </si>
  <si>
    <t xml:space="preserve">26525326</t>
  </si>
  <si>
    <t xml:space="preserve">ЗАО "Рыбинсклессервис"</t>
  </si>
  <si>
    <t xml:space="preserve">7610050037</t>
  </si>
  <si>
    <t xml:space="preserve">21-05-2015 00:00:00</t>
  </si>
  <si>
    <t xml:space="preserve">26649288</t>
  </si>
  <si>
    <t xml:space="preserve">ЗАО "Санаторий имени Воровского"</t>
  </si>
  <si>
    <t xml:space="preserve">7626001860</t>
  </si>
  <si>
    <t xml:space="preserve">26483232</t>
  </si>
  <si>
    <t xml:space="preserve">ЗАО "Угличэнергия"</t>
  </si>
  <si>
    <t xml:space="preserve">7612036704</t>
  </si>
  <si>
    <t xml:space="preserve">761201001</t>
  </si>
  <si>
    <t xml:space="preserve">31-01-2012 00:00:00</t>
  </si>
  <si>
    <t xml:space="preserve">28497588</t>
  </si>
  <si>
    <t xml:space="preserve">ЗАО "Центр энергетики МГТУ им. Н.Э. Баумана"</t>
  </si>
  <si>
    <t xml:space="preserve">5248027102</t>
  </si>
  <si>
    <t xml:space="preserve">31-12-2014 00:00:00</t>
  </si>
  <si>
    <t xml:space="preserve">26483202</t>
  </si>
  <si>
    <t xml:space="preserve">ЗАО "Энергосервис"</t>
  </si>
  <si>
    <t xml:space="preserve">7603026805</t>
  </si>
  <si>
    <t xml:space="preserve">26649314</t>
  </si>
  <si>
    <t xml:space="preserve">ЗАО "Ярославль-Резинотехника"</t>
  </si>
  <si>
    <t xml:space="preserve">7603024491</t>
  </si>
  <si>
    <t xml:space="preserve">26483338</t>
  </si>
  <si>
    <t xml:space="preserve">Любимское МУП ЖКХ</t>
  </si>
  <si>
    <t xml:space="preserve">7618000140</t>
  </si>
  <si>
    <t xml:space="preserve">761801001</t>
  </si>
  <si>
    <t xml:space="preserve">26525357</t>
  </si>
  <si>
    <t xml:space="preserve">МАУ "Тепловые сети"</t>
  </si>
  <si>
    <t xml:space="preserve">7612034337</t>
  </si>
  <si>
    <t xml:space="preserve">761201002</t>
  </si>
  <si>
    <t xml:space="preserve">30-11-2011 00:00:00</t>
  </si>
  <si>
    <t xml:space="preserve">26648637</t>
  </si>
  <si>
    <t xml:space="preserve">МБУ "Волжское ЖКХ"</t>
  </si>
  <si>
    <t xml:space="preserve">7610088538</t>
  </si>
  <si>
    <t xml:space="preserve">17-01-2011 00:00:00</t>
  </si>
  <si>
    <t xml:space="preserve">28-04-2015 00:00:00</t>
  </si>
  <si>
    <t xml:space="preserve">МИНИСТЕРСТВО ТАРИФНОГО РЕГУЛИРОВАНИЯ ЯРОСЛАВСКОЙ ОБЛАСТИ</t>
  </si>
  <si>
    <t xml:space="preserve">7604384296</t>
  </si>
  <si>
    <t xml:space="preserve">30792750</t>
  </si>
  <si>
    <t xml:space="preserve">МКП «Теплосервис»</t>
  </si>
  <si>
    <t xml:space="preserve">7617009623</t>
  </si>
  <si>
    <t xml:space="preserve">31327447</t>
  </si>
  <si>
    <t xml:space="preserve">МП ЯМР "Теплоресурс"</t>
  </si>
  <si>
    <t xml:space="preserve">7627051712</t>
  </si>
  <si>
    <t xml:space="preserve">16-01-2019 00:00:00</t>
  </si>
  <si>
    <t xml:space="preserve">28499729</t>
  </si>
  <si>
    <t xml:space="preserve">МУП "Волжское ЖКХ"</t>
  </si>
  <si>
    <t xml:space="preserve">7610103190</t>
  </si>
  <si>
    <t xml:space="preserve">26483463</t>
  </si>
  <si>
    <t xml:space="preserve">МУП "Коммунальник"</t>
  </si>
  <si>
    <t xml:space="preserve">7613004085</t>
  </si>
  <si>
    <t xml:space="preserve">761301001</t>
  </si>
  <si>
    <t xml:space="preserve">30344297</t>
  </si>
  <si>
    <t xml:space="preserve">МУП "Коммунальное хозяйство"</t>
  </si>
  <si>
    <t xml:space="preserve">7615011610</t>
  </si>
  <si>
    <t xml:space="preserve">761501001</t>
  </si>
  <si>
    <t xml:space="preserve">28505444</t>
  </si>
  <si>
    <t xml:space="preserve">МУП "Любимский теплосервис"</t>
  </si>
  <si>
    <t xml:space="preserve">7618004018</t>
  </si>
  <si>
    <t xml:space="preserve">15-10-2013 00:00:00</t>
  </si>
  <si>
    <t xml:space="preserve">26483443</t>
  </si>
  <si>
    <t xml:space="preserve">МУП "Октябрьское жилищно-коммунальное хозяйство"</t>
  </si>
  <si>
    <t xml:space="preserve">7620004833</t>
  </si>
  <si>
    <t xml:space="preserve">762001001</t>
  </si>
  <si>
    <t xml:space="preserve">26483240</t>
  </si>
  <si>
    <t xml:space="preserve">МУП "Предприятие коммунально-бытового обслуживания"</t>
  </si>
  <si>
    <t xml:space="preserve">7612039712</t>
  </si>
  <si>
    <t xml:space="preserve">28442711</t>
  </si>
  <si>
    <t xml:space="preserve">МУП "РКЦ ЖКУ"</t>
  </si>
  <si>
    <t xml:space="preserve">7621006030</t>
  </si>
  <si>
    <t xml:space="preserve">31224727</t>
  </si>
  <si>
    <t xml:space="preserve">МУП "Расчетный центр"</t>
  </si>
  <si>
    <t xml:space="preserve">7609018487</t>
  </si>
  <si>
    <t xml:space="preserve">05-12-2016 00:00:00</t>
  </si>
  <si>
    <t xml:space="preserve">26483188</t>
  </si>
  <si>
    <t xml:space="preserve">МУП "Ремонтно-эксплуатационный участок № 4"</t>
  </si>
  <si>
    <t xml:space="preserve">7603037405</t>
  </si>
  <si>
    <t xml:space="preserve">31-12-2011 00:00:00</t>
  </si>
  <si>
    <t xml:space="preserve">26525333</t>
  </si>
  <si>
    <t xml:space="preserve">МУП "Ростовская коммунальная энергетика"</t>
  </si>
  <si>
    <t xml:space="preserve">7604131880</t>
  </si>
  <si>
    <t xml:space="preserve">20-10-2014 00:00:00</t>
  </si>
  <si>
    <t xml:space="preserve">26483622</t>
  </si>
  <si>
    <t xml:space="preserve">МУП "Спектр"</t>
  </si>
  <si>
    <t xml:space="preserve">7608011873</t>
  </si>
  <si>
    <t xml:space="preserve">27569386</t>
  </si>
  <si>
    <t xml:space="preserve">МУП "Тепловые сети"</t>
  </si>
  <si>
    <t xml:space="preserve">7612043980</t>
  </si>
  <si>
    <t xml:space="preserve">31221168</t>
  </si>
  <si>
    <t xml:space="preserve">МУП "Теплосервис"</t>
  </si>
  <si>
    <t xml:space="preserve">7608036268</t>
  </si>
  <si>
    <t xml:space="preserve">17-09-2018 00:00:00</t>
  </si>
  <si>
    <t xml:space="preserve">26483284</t>
  </si>
  <si>
    <t xml:space="preserve">МУП "Теплоэнергосеть"</t>
  </si>
  <si>
    <t xml:space="preserve">7611013729</t>
  </si>
  <si>
    <t xml:space="preserve">26483264</t>
  </si>
  <si>
    <t xml:space="preserve">МУП "Энергетик"</t>
  </si>
  <si>
    <t xml:space="preserve">7612000338</t>
  </si>
  <si>
    <t xml:space="preserve">26526560</t>
  </si>
  <si>
    <t xml:space="preserve">7619000048</t>
  </si>
  <si>
    <t xml:space="preserve">761902001</t>
  </si>
  <si>
    <t xml:space="preserve">02-09-2011 00:00:00</t>
  </si>
  <si>
    <t xml:space="preserve">26785009</t>
  </si>
  <si>
    <t xml:space="preserve">7608010100</t>
  </si>
  <si>
    <t xml:space="preserve">760801002</t>
  </si>
  <si>
    <t xml:space="preserve">20-12-2023 00:00:00</t>
  </si>
  <si>
    <t xml:space="preserve">26525350</t>
  </si>
  <si>
    <t xml:space="preserve">МУП "Энергетик" котельные</t>
  </si>
  <si>
    <t xml:space="preserve">01-09-2011 00:00:00</t>
  </si>
  <si>
    <t xml:space="preserve">26785025</t>
  </si>
  <si>
    <t xml:space="preserve">МУП "Энергетик" передача от ООО "МЭС" п.Чкаловский</t>
  </si>
  <si>
    <t xml:space="preserve">760801006</t>
  </si>
  <si>
    <t xml:space="preserve">29646676</t>
  </si>
  <si>
    <t xml:space="preserve">МУП "Энергетический ресурс" Некрасовского муниципального района</t>
  </si>
  <si>
    <t xml:space="preserve">7621010075</t>
  </si>
  <si>
    <t xml:space="preserve">26483228</t>
  </si>
  <si>
    <t xml:space="preserve">МУП "Ярославский городской энергосбыт"</t>
  </si>
  <si>
    <t xml:space="preserve">7604088265</t>
  </si>
  <si>
    <t xml:space="preserve">07-06-2017 00:00:00</t>
  </si>
  <si>
    <t xml:space="preserve">30791907</t>
  </si>
  <si>
    <t xml:space="preserve">МУП «Энергоресурс» УМР</t>
  </si>
  <si>
    <t xml:space="preserve">7612046371</t>
  </si>
  <si>
    <t xml:space="preserve">26483373</t>
  </si>
  <si>
    <t xml:space="preserve">МУП ГО г.Рыбинск "Теплоэнерго"</t>
  </si>
  <si>
    <t xml:space="preserve">7610044403</t>
  </si>
  <si>
    <t xml:space="preserve">11-06-1998 00:00:00</t>
  </si>
  <si>
    <t xml:space="preserve">26483356</t>
  </si>
  <si>
    <t xml:space="preserve">МУП ЖКХ "Акватерм-сервис"</t>
  </si>
  <si>
    <t xml:space="preserve">7614004641</t>
  </si>
  <si>
    <t xml:space="preserve">761401001</t>
  </si>
  <si>
    <t xml:space="preserve">18-04-2014 00:00:00</t>
  </si>
  <si>
    <t xml:space="preserve">30881192</t>
  </si>
  <si>
    <t xml:space="preserve">26649261</t>
  </si>
  <si>
    <t xml:space="preserve">МУП ЖКХ "Акватерм-сервис" котельная ЦРБ (дрова)</t>
  </si>
  <si>
    <t xml:space="preserve">761401002</t>
  </si>
  <si>
    <t xml:space="preserve">24-08-2011 00:00:00</t>
  </si>
  <si>
    <t xml:space="preserve">26526763</t>
  </si>
  <si>
    <t xml:space="preserve">МУП ЖКХ "Борисоглебское" ул. Вощажниковская</t>
  </si>
  <si>
    <t xml:space="preserve">7614004426</t>
  </si>
  <si>
    <t xml:space="preserve">26483459</t>
  </si>
  <si>
    <t xml:space="preserve">МУП ЖКХ "Брейтовское"</t>
  </si>
  <si>
    <t xml:space="preserve">7615010408</t>
  </si>
  <si>
    <t xml:space="preserve">01-11-2018 00:00:00</t>
  </si>
  <si>
    <t xml:space="preserve">28425128</t>
  </si>
  <si>
    <t xml:space="preserve">МУП ЖКХ "Бурмакино"</t>
  </si>
  <si>
    <t xml:space="preserve">7621009707</t>
  </si>
  <si>
    <t xml:space="preserve">26483322</t>
  </si>
  <si>
    <t xml:space="preserve">МУП ЖКХ "Заволжское"</t>
  </si>
  <si>
    <t xml:space="preserve">7621006992</t>
  </si>
  <si>
    <t xml:space="preserve">25-05-2023 00:00:00</t>
  </si>
  <si>
    <t xml:space="preserve">26483506</t>
  </si>
  <si>
    <t xml:space="preserve">МУП ЖКХ "Заволжье"</t>
  </si>
  <si>
    <t xml:space="preserve">7621005558</t>
  </si>
  <si>
    <t xml:space="preserve">05-07-2018 00:00:00</t>
  </si>
  <si>
    <t xml:space="preserve">28821524</t>
  </si>
  <si>
    <t xml:space="preserve">МУП ЖКХ Первомайского муниципального района Ярославской области "Теплоснаб"</t>
  </si>
  <si>
    <t xml:space="preserve">7623005151</t>
  </si>
  <si>
    <t xml:space="preserve">26483288</t>
  </si>
  <si>
    <t xml:space="preserve">МУП ЖКХ г. Тутаева</t>
  </si>
  <si>
    <t xml:space="preserve">7611002276</t>
  </si>
  <si>
    <t xml:space="preserve">26483306</t>
  </si>
  <si>
    <t xml:space="preserve">МУП РМР ЯО "Каменники"</t>
  </si>
  <si>
    <t xml:space="preserve">7610030986</t>
  </si>
  <si>
    <t xml:space="preserve">26526765</t>
  </si>
  <si>
    <t xml:space="preserve">МУП РМР ЯО "Каменники" Арефино</t>
  </si>
  <si>
    <t xml:space="preserve">761001003</t>
  </si>
  <si>
    <t xml:space="preserve">26525320</t>
  </si>
  <si>
    <t xml:space="preserve">МУП РМР ЯО "Каменники" передача</t>
  </si>
  <si>
    <t xml:space="preserve">761001002</t>
  </si>
  <si>
    <t xml:space="preserve">26483304</t>
  </si>
  <si>
    <t xml:space="preserve">МУП РМР ЯО "Коммунальные системы"</t>
  </si>
  <si>
    <t xml:space="preserve">7610074824</t>
  </si>
  <si>
    <t xml:space="preserve">30345479</t>
  </si>
  <si>
    <t xml:space="preserve">МУП РМР ЯО "Система ЖКХ"</t>
  </si>
  <si>
    <t xml:space="preserve">7610088016</t>
  </si>
  <si>
    <t xml:space="preserve">26483290</t>
  </si>
  <si>
    <t xml:space="preserve">МУП ТМР "Артемьевское ЖКХ"</t>
  </si>
  <si>
    <t xml:space="preserve">7611017385</t>
  </si>
  <si>
    <t xml:space="preserve">31355330</t>
  </si>
  <si>
    <t xml:space="preserve">МУП ТМР "ТутаевТеплоЭнерго"</t>
  </si>
  <si>
    <t xml:space="preserve">7611026862</t>
  </si>
  <si>
    <t xml:space="preserve">25-10-2019 00:00:00</t>
  </si>
  <si>
    <t xml:space="preserve">28443212</t>
  </si>
  <si>
    <t xml:space="preserve">МУП ТМР "Тутаевские коммунальные системы"</t>
  </si>
  <si>
    <t xml:space="preserve">7611022836</t>
  </si>
  <si>
    <t xml:space="preserve">26483286</t>
  </si>
  <si>
    <t xml:space="preserve">МУП ТМР "Чебаковское ЖКХ"</t>
  </si>
  <si>
    <t xml:space="preserve">7611017392</t>
  </si>
  <si>
    <t xml:space="preserve">26483332</t>
  </si>
  <si>
    <t xml:space="preserve">Некрасовское МП ЖКХ</t>
  </si>
  <si>
    <t xml:space="preserve">7621000133</t>
  </si>
  <si>
    <t xml:space="preserve">16-03-2016 00:00:00</t>
  </si>
  <si>
    <t xml:space="preserve">26526586</t>
  </si>
  <si>
    <t xml:space="preserve">Некрасовское МП ЖКХ передача</t>
  </si>
  <si>
    <t xml:space="preserve">7621004307</t>
  </si>
  <si>
    <t xml:space="preserve">762101003</t>
  </si>
  <si>
    <t xml:space="preserve">26526584</t>
  </si>
  <si>
    <t xml:space="preserve">ОАО "6 арсенал"</t>
  </si>
  <si>
    <t xml:space="preserve">762101002</t>
  </si>
  <si>
    <t xml:space="preserve">01-05-2011 00:00:00</t>
  </si>
  <si>
    <t xml:space="preserve">26483149</t>
  </si>
  <si>
    <t xml:space="preserve">ОАО "ДЭП-27"</t>
  </si>
  <si>
    <t xml:space="preserve">7609023568</t>
  </si>
  <si>
    <t xml:space="preserve">07-09-2011 00:00:00</t>
  </si>
  <si>
    <t xml:space="preserve">26483455</t>
  </si>
  <si>
    <t xml:space="preserve">ОАО "Даниловский маслосырзвод"</t>
  </si>
  <si>
    <t xml:space="preserve">7617000268</t>
  </si>
  <si>
    <t xml:space="preserve">28068350</t>
  </si>
  <si>
    <t xml:space="preserve">ОАО "Домостроительный комбинат"</t>
  </si>
  <si>
    <t xml:space="preserve">7602056885</t>
  </si>
  <si>
    <t xml:space="preserve">14-09-2006 00:00:00</t>
  </si>
  <si>
    <t xml:space="preserve">22-10-2013 00:00:00</t>
  </si>
  <si>
    <t xml:space="preserve">26514525</t>
  </si>
  <si>
    <t xml:space="preserve">ОАО "ЖКХ "Заволжье"</t>
  </si>
  <si>
    <t xml:space="preserve">7627032974</t>
  </si>
  <si>
    <t xml:space="preserve">26524667</t>
  </si>
  <si>
    <t xml:space="preserve">ОАО "Инкомпроект-Инвест"</t>
  </si>
  <si>
    <t xml:space="preserve">7604149662</t>
  </si>
  <si>
    <t xml:space="preserve">26483184</t>
  </si>
  <si>
    <t xml:space="preserve">ОАО "Компания "Спектр"</t>
  </si>
  <si>
    <t xml:space="preserve">7609012894</t>
  </si>
  <si>
    <t xml:space="preserve">26483482</t>
  </si>
  <si>
    <t xml:space="preserve">ОАО "Красные Ткачи"</t>
  </si>
  <si>
    <t xml:space="preserve">7627002923</t>
  </si>
  <si>
    <t xml:space="preserve">26483216</t>
  </si>
  <si>
    <t xml:space="preserve">ОАО "Опытный завод "Паксистем"</t>
  </si>
  <si>
    <t xml:space="preserve">7602002946</t>
  </si>
  <si>
    <t xml:space="preserve">26526722</t>
  </si>
  <si>
    <t xml:space="preserve">ОАО "Первомайское коммунальное хозяйство" (пос. Пречистое)</t>
  </si>
  <si>
    <t xml:space="preserve">762301002</t>
  </si>
  <si>
    <t xml:space="preserve">26526725</t>
  </si>
  <si>
    <t xml:space="preserve">ОАО "Первомайское коммунальное хозяйство" (с. Коза)</t>
  </si>
  <si>
    <t xml:space="preserve">26483417</t>
  </si>
  <si>
    <t xml:space="preserve">ОАО "Петровский завод ЖБИ"</t>
  </si>
  <si>
    <t xml:space="preserve">7609012573</t>
  </si>
  <si>
    <t xml:space="preserve">26483310</t>
  </si>
  <si>
    <t xml:space="preserve">ОАО "Пошехонская теплосеть"</t>
  </si>
  <si>
    <t xml:space="preserve">7624004506</t>
  </si>
  <si>
    <t xml:space="preserve">762401001</t>
  </si>
  <si>
    <t xml:space="preserve">26483395</t>
  </si>
  <si>
    <t xml:space="preserve">ОАО "Раскат"</t>
  </si>
  <si>
    <t xml:space="preserve">7610002851</t>
  </si>
  <si>
    <t xml:space="preserve">23-08-2022 00:00:00</t>
  </si>
  <si>
    <t xml:space="preserve">26649249</t>
  </si>
  <si>
    <t xml:space="preserve">ОАО "Ростелеком" ТУ №6 котельная с. Шопша</t>
  </si>
  <si>
    <t xml:space="preserve">7707049388</t>
  </si>
  <si>
    <t xml:space="preserve">993131002</t>
  </si>
  <si>
    <t xml:space="preserve">31-08-2011 00:00:00</t>
  </si>
  <si>
    <t xml:space="preserve">26524658</t>
  </si>
  <si>
    <t xml:space="preserve">ОАО "Ростелеком" центральный филиал территориальное управление №8</t>
  </si>
  <si>
    <t xml:space="preserve">760431001</t>
  </si>
  <si>
    <t xml:space="preserve">26483375</t>
  </si>
  <si>
    <t xml:space="preserve">ОАО "Рыбинскхлеб"</t>
  </si>
  <si>
    <t xml:space="preserve">7610005796</t>
  </si>
  <si>
    <t xml:space="preserve">27548439</t>
  </si>
  <si>
    <t xml:space="preserve">ОАО "Санаторий "Красный Холм"</t>
  </si>
  <si>
    <t xml:space="preserve">7627015619</t>
  </si>
  <si>
    <t xml:space="preserve">26483192</t>
  </si>
  <si>
    <t xml:space="preserve">ОАО "ТЭСС"</t>
  </si>
  <si>
    <t xml:space="preserve">7603015835</t>
  </si>
  <si>
    <t xml:space="preserve">26524563</t>
  </si>
  <si>
    <t xml:space="preserve">ОАО "ТЭСС" Семибратово</t>
  </si>
  <si>
    <t xml:space="preserve">760301002</t>
  </si>
  <si>
    <t xml:space="preserve">26524565</t>
  </si>
  <si>
    <t xml:space="preserve">ОАО "ТЭСС" Углич</t>
  </si>
  <si>
    <t xml:space="preserve">760301003</t>
  </si>
  <si>
    <t xml:space="preserve">26649168</t>
  </si>
  <si>
    <t xml:space="preserve">ОАО "ТЭСС" г. Углич (передача)</t>
  </si>
  <si>
    <t xml:space="preserve">760301004</t>
  </si>
  <si>
    <t xml:space="preserve">27673607</t>
  </si>
  <si>
    <t xml:space="preserve">ОАО "Территориальная генерирующая компания № 2"</t>
  </si>
  <si>
    <t xml:space="preserve">7606053324</t>
  </si>
  <si>
    <t xml:space="preserve">14-08-2012 00:00:00</t>
  </si>
  <si>
    <t xml:space="preserve">26483258</t>
  </si>
  <si>
    <t xml:space="preserve">ОАО "Угличречпорт"</t>
  </si>
  <si>
    <t xml:space="preserve">7612011178</t>
  </si>
  <si>
    <t xml:space="preserve">15-05-2012 00:00:00</t>
  </si>
  <si>
    <t xml:space="preserve">26483242</t>
  </si>
  <si>
    <t xml:space="preserve">ОАО "Угличское межрайонное производственное ремонтно-эксплуатационное объединение мелиорации и водного хозяйства""УМПРЭО"</t>
  </si>
  <si>
    <t xml:space="preserve">7612034810</t>
  </si>
  <si>
    <t xml:space="preserve">08-04-2015 00:00:00</t>
  </si>
  <si>
    <t xml:space="preserve">26483162</t>
  </si>
  <si>
    <t xml:space="preserve">ОАО "Яргортеплоэнерго"</t>
  </si>
  <si>
    <t xml:space="preserve">7606047507</t>
  </si>
  <si>
    <t xml:space="preserve">27712950</t>
  </si>
  <si>
    <t xml:space="preserve">ОАО "Яркоммунсервис"</t>
  </si>
  <si>
    <t xml:space="preserve">7604016214</t>
  </si>
  <si>
    <t xml:space="preserve">26-08-2014 00:00:00</t>
  </si>
  <si>
    <t xml:space="preserve">26569085</t>
  </si>
  <si>
    <t xml:space="preserve">ОАО "Ярославская генерирующая компания"</t>
  </si>
  <si>
    <t xml:space="preserve">26569089</t>
  </si>
  <si>
    <t xml:space="preserve">761901001</t>
  </si>
  <si>
    <t xml:space="preserve">26569082</t>
  </si>
  <si>
    <t xml:space="preserve">ОАО "Ярославская генерирующая компания" передача т/э</t>
  </si>
  <si>
    <t xml:space="preserve">761202001</t>
  </si>
  <si>
    <t xml:space="preserve">27573925</t>
  </si>
  <si>
    <t xml:space="preserve">ОАО "Ярославский бройлер"</t>
  </si>
  <si>
    <t xml:space="preserve">7610049497</t>
  </si>
  <si>
    <t xml:space="preserve">27030938</t>
  </si>
  <si>
    <t xml:space="preserve">ОАО "Ярославский завод топливной аппаратуры"</t>
  </si>
  <si>
    <t xml:space="preserve">7601000939</t>
  </si>
  <si>
    <t xml:space="preserve">26483174</t>
  </si>
  <si>
    <t xml:space="preserve">ОАО "Ярославский комбинат технических тканей "Красный Перекоп"</t>
  </si>
  <si>
    <t xml:space="preserve">7601001146</t>
  </si>
  <si>
    <t xml:space="preserve">26319496</t>
  </si>
  <si>
    <t xml:space="preserve">ОАО "Ярославский нефтеперерабатывающий завод им. Д.И. Менделеева"</t>
  </si>
  <si>
    <t xml:space="preserve">7611002100</t>
  </si>
  <si>
    <t xml:space="preserve">29-06-2022 00:00:00</t>
  </si>
  <si>
    <t xml:space="preserve">26526761</t>
  </si>
  <si>
    <t xml:space="preserve">ОАО ЖКХ "Заволжье" п. Красные Ткачи</t>
  </si>
  <si>
    <t xml:space="preserve">762701005</t>
  </si>
  <si>
    <t xml:space="preserve">26-08-2011 00:00:00</t>
  </si>
  <si>
    <t xml:space="preserve">26526755</t>
  </si>
  <si>
    <t xml:space="preserve">ОАО ЖКХ "Заволжье" передача Дубки, Ивняки, Щедрино</t>
  </si>
  <si>
    <t xml:space="preserve">762701002</t>
  </si>
  <si>
    <t xml:space="preserve">26526757</t>
  </si>
  <si>
    <t xml:space="preserve">ОАО ЖКХ "Заволжье" передача Лесная Поляна</t>
  </si>
  <si>
    <t xml:space="preserve">762701003</t>
  </si>
  <si>
    <t xml:space="preserve">26526759</t>
  </si>
  <si>
    <t xml:space="preserve">ОАО ЖКХ "Заволжье" передача п. Красный Бор</t>
  </si>
  <si>
    <t xml:space="preserve">762701004</t>
  </si>
  <si>
    <t xml:space="preserve">28267865</t>
  </si>
  <si>
    <t xml:space="preserve">ООО  «Котельная завода «Пролетарская свобода»</t>
  </si>
  <si>
    <t xml:space="preserve">7604077129</t>
  </si>
  <si>
    <t xml:space="preserve">29-08-2018 00:00:00</t>
  </si>
  <si>
    <t xml:space="preserve">26483198</t>
  </si>
  <si>
    <t xml:space="preserve">ООО "АДС"</t>
  </si>
  <si>
    <t xml:space="preserve">7604008710</t>
  </si>
  <si>
    <t xml:space="preserve">31357107</t>
  </si>
  <si>
    <t xml:space="preserve">ООО "Агентство территориального развития"</t>
  </si>
  <si>
    <t xml:space="preserve">7733553954</t>
  </si>
  <si>
    <t xml:space="preserve">773301001</t>
  </si>
  <si>
    <t xml:space="preserve">17-10-2005 00:00:00</t>
  </si>
  <si>
    <t xml:space="preserve">31094278</t>
  </si>
  <si>
    <t xml:space="preserve">ООО "Атлас-М"</t>
  </si>
  <si>
    <t xml:space="preserve">7731444999</t>
  </si>
  <si>
    <t xml:space="preserve">773101001</t>
  </si>
  <si>
    <t xml:space="preserve">04-04-2013 00:00:00</t>
  </si>
  <si>
    <t xml:space="preserve">28254087</t>
  </si>
  <si>
    <t xml:space="preserve">ООО "БизнесПродуктГрупп"</t>
  </si>
  <si>
    <t xml:space="preserve">7708579934</t>
  </si>
  <si>
    <t xml:space="preserve">772301001</t>
  </si>
  <si>
    <t xml:space="preserve">30-12-2020 00:00:00</t>
  </si>
  <si>
    <t xml:space="preserve">31644581</t>
  </si>
  <si>
    <t xml:space="preserve">ООО "Бюро развития территорий"</t>
  </si>
  <si>
    <t xml:space="preserve">7733568245</t>
  </si>
  <si>
    <t xml:space="preserve">11-05-2006 00:00:00</t>
  </si>
  <si>
    <t xml:space="preserve">31224721</t>
  </si>
  <si>
    <t xml:space="preserve">ООО "Велмекс"</t>
  </si>
  <si>
    <t xml:space="preserve">7728231310</t>
  </si>
  <si>
    <t xml:space="preserve">503201001</t>
  </si>
  <si>
    <t xml:space="preserve">31-10-2002 00:00:00</t>
  </si>
  <si>
    <t xml:space="preserve">28932227</t>
  </si>
  <si>
    <t xml:space="preserve">12-01-2015 00:00:00</t>
  </si>
  <si>
    <t xml:space="preserve">26483449</t>
  </si>
  <si>
    <t xml:space="preserve">ООО "Газпром трансгаз Ухта" Переславское ЛПУ МГ</t>
  </si>
  <si>
    <t xml:space="preserve">1102024468</t>
  </si>
  <si>
    <t xml:space="preserve">762232001</t>
  </si>
  <si>
    <t xml:space="preserve">27-05-2011 00:00:00</t>
  </si>
  <si>
    <t xml:space="preserve">31639442</t>
  </si>
  <si>
    <t xml:space="preserve">ООО "Гефест"</t>
  </si>
  <si>
    <t xml:space="preserve">7604370092</t>
  </si>
  <si>
    <t xml:space="preserve">02-10-2020 00:00:00</t>
  </si>
  <si>
    <t xml:space="preserve">31661170</t>
  </si>
  <si>
    <t xml:space="preserve">ООО "Городские коммунальные сети"</t>
  </si>
  <si>
    <t xml:space="preserve">7627056284</t>
  </si>
  <si>
    <t xml:space="preserve">29-04-2022 00:00:00</t>
  </si>
  <si>
    <t xml:space="preserve">31036525</t>
  </si>
  <si>
    <t xml:space="preserve">ООО "Компания "Мастер-Сервис"</t>
  </si>
  <si>
    <t xml:space="preserve">7604137836</t>
  </si>
  <si>
    <t xml:space="preserve">21-07-2008 00:00:00</t>
  </si>
  <si>
    <t xml:space="preserve">26649376</t>
  </si>
  <si>
    <t xml:space="preserve">ООО "Котельная завода "Пролетарская свобода" д. Милюшино</t>
  </si>
  <si>
    <t xml:space="preserve">26649369</t>
  </si>
  <si>
    <t xml:space="preserve">ООО "Котельная завода "Пролетарская свобода" с. Арефино</t>
  </si>
  <si>
    <t xml:space="preserve">26649353</t>
  </si>
  <si>
    <t xml:space="preserve">ООО "Котельная завода "Пролетарская свобода" с. Варегово</t>
  </si>
  <si>
    <t xml:space="preserve">761301002</t>
  </si>
  <si>
    <t xml:space="preserve">31085027</t>
  </si>
  <si>
    <t xml:space="preserve">ООО "Котельная промплощадки"</t>
  </si>
  <si>
    <t xml:space="preserve">7609038275</t>
  </si>
  <si>
    <t xml:space="preserve">23-01-2018 00:00:00</t>
  </si>
  <si>
    <t xml:space="preserve">26483367</t>
  </si>
  <si>
    <t xml:space="preserve">ООО "Крома"</t>
  </si>
  <si>
    <t xml:space="preserve">7610063251</t>
  </si>
  <si>
    <t xml:space="preserve">31-12-2018 00:00:00</t>
  </si>
  <si>
    <t xml:space="preserve">28981279</t>
  </si>
  <si>
    <t xml:space="preserve">ООО "ЛКМ"</t>
  </si>
  <si>
    <t xml:space="preserve">7610110198</t>
  </si>
  <si>
    <t xml:space="preserve">26650315</t>
  </si>
  <si>
    <t xml:space="preserve">ООО "Лесла"</t>
  </si>
  <si>
    <t xml:space="preserve">7610015917</t>
  </si>
  <si>
    <t xml:space="preserve">26525317</t>
  </si>
  <si>
    <t xml:space="preserve">07-04-2015 00:00:00</t>
  </si>
  <si>
    <t xml:space="preserve">26319525</t>
  </si>
  <si>
    <t xml:space="preserve">ООО "Механический завод "Чайка"</t>
  </si>
  <si>
    <t xml:space="preserve">7612034087</t>
  </si>
  <si>
    <t xml:space="preserve">27568785</t>
  </si>
  <si>
    <t xml:space="preserve">ООО "Муниципальные коммунальные системы"</t>
  </si>
  <si>
    <t xml:space="preserve">7627036930</t>
  </si>
  <si>
    <t xml:space="preserve">26649427</t>
  </si>
  <si>
    <t xml:space="preserve">ООО "Муниципальные энергетические системы"</t>
  </si>
  <si>
    <t xml:space="preserve">7727575942</t>
  </si>
  <si>
    <t xml:space="preserve">26525313</t>
  </si>
  <si>
    <t xml:space="preserve">ООО "Мясопродукт"</t>
  </si>
  <si>
    <t xml:space="preserve">7610041709</t>
  </si>
  <si>
    <t xml:space="preserve">31230718</t>
  </si>
  <si>
    <t xml:space="preserve">ООО "ОРЦ Ярославль"</t>
  </si>
  <si>
    <t xml:space="preserve">2311234703</t>
  </si>
  <si>
    <t xml:space="preserve">231101001</t>
  </si>
  <si>
    <t xml:space="preserve">12-04-2017 00:00:00</t>
  </si>
  <si>
    <t xml:space="preserve">28856606</t>
  </si>
  <si>
    <t xml:space="preserve">ООО "Ориентир"</t>
  </si>
  <si>
    <t xml:space="preserve">7604234847</t>
  </si>
  <si>
    <t xml:space="preserve">12-12-2019 00:00:00</t>
  </si>
  <si>
    <t xml:space="preserve">28505423</t>
  </si>
  <si>
    <t xml:space="preserve">ООО "Переславская энергетическая компания"</t>
  </si>
  <si>
    <t xml:space="preserve">7608010870</t>
  </si>
  <si>
    <t xml:space="preserve">645001001</t>
  </si>
  <si>
    <t xml:space="preserve">04-10-2022 00:00:00</t>
  </si>
  <si>
    <t xml:space="preserve">26524537</t>
  </si>
  <si>
    <t xml:space="preserve">ООО "Переславский технопарк"</t>
  </si>
  <si>
    <t xml:space="preserve">7608012203</t>
  </si>
  <si>
    <t xml:space="preserve">31-03-2014 00:00:00</t>
  </si>
  <si>
    <t xml:space="preserve">31313217</t>
  </si>
  <si>
    <t xml:space="preserve">ООО "Прогресс"</t>
  </si>
  <si>
    <t xml:space="preserve">7627052000</t>
  </si>
  <si>
    <t xml:space="preserve">28-03-2019 00:00:00</t>
  </si>
  <si>
    <t xml:space="preserve">30794646</t>
  </si>
  <si>
    <t xml:space="preserve">ООО "Промцентр"</t>
  </si>
  <si>
    <t xml:space="preserve">7604234854</t>
  </si>
  <si>
    <t xml:space="preserve">26483419</t>
  </si>
  <si>
    <t xml:space="preserve">ООО "РОМЗЭНЕРГО"</t>
  </si>
  <si>
    <t xml:space="preserve">7609018208</t>
  </si>
  <si>
    <t xml:space="preserve">13-08-2012 00:00:00</t>
  </si>
  <si>
    <t xml:space="preserve">26483214</t>
  </si>
  <si>
    <t xml:space="preserve">ООО "РСК "ТЭР"</t>
  </si>
  <si>
    <t xml:space="preserve">7606036103</t>
  </si>
  <si>
    <t xml:space="preserve">31604496</t>
  </si>
  <si>
    <t xml:space="preserve">ООО "РЭНСОМ"</t>
  </si>
  <si>
    <t xml:space="preserve">6450083431</t>
  </si>
  <si>
    <t xml:space="preserve">26525309</t>
  </si>
  <si>
    <t xml:space="preserve">ООО "Раскат-РОС"</t>
  </si>
  <si>
    <t xml:space="preserve">7610059375</t>
  </si>
  <si>
    <t xml:space="preserve">26483298</t>
  </si>
  <si>
    <t xml:space="preserve">ООО "Региональная Теплогенерирующая Компания №1" Судоверфь</t>
  </si>
  <si>
    <t xml:space="preserve">7719675887</t>
  </si>
  <si>
    <t xml:space="preserve">26525403</t>
  </si>
  <si>
    <t xml:space="preserve">ООО "Региональная Теплогенерирующая компания №1 Каменники</t>
  </si>
  <si>
    <t xml:space="preserve">26649166</t>
  </si>
  <si>
    <t xml:space="preserve">ООО "Ростовавторемонт"</t>
  </si>
  <si>
    <t xml:space="preserve">7609023014</t>
  </si>
  <si>
    <t xml:space="preserve">31543125</t>
  </si>
  <si>
    <t xml:space="preserve">ООО "Росттехсервис"</t>
  </si>
  <si>
    <t xml:space="preserve">7609038170</t>
  </si>
  <si>
    <t xml:space="preserve">04-12-2017 00:00:00</t>
  </si>
  <si>
    <t xml:space="preserve">26526727</t>
  </si>
  <si>
    <t xml:space="preserve">ООО "Рубеж"</t>
  </si>
  <si>
    <t xml:space="preserve">7623004581</t>
  </si>
  <si>
    <t xml:space="preserve">31352310</t>
  </si>
  <si>
    <t xml:space="preserve">ООО "Рыбинская генерация"</t>
  </si>
  <si>
    <t xml:space="preserve">4401158338</t>
  </si>
  <si>
    <t xml:space="preserve">14-08-2018 00:00:00</t>
  </si>
  <si>
    <t xml:space="preserve">27965323</t>
  </si>
  <si>
    <t xml:space="preserve">ООО "Рыбинсккабель"</t>
  </si>
  <si>
    <t xml:space="preserve">7610093062</t>
  </si>
  <si>
    <t xml:space="preserve">761050001</t>
  </si>
  <si>
    <t xml:space="preserve">31304319</t>
  </si>
  <si>
    <t xml:space="preserve">ООО "СЗЦ "Энергоконсультант"</t>
  </si>
  <si>
    <t xml:space="preserve">7627036016</t>
  </si>
  <si>
    <t xml:space="preserve">24-12-2010 00:00:00</t>
  </si>
  <si>
    <t xml:space="preserve">30925371</t>
  </si>
  <si>
    <t xml:space="preserve">ООО "СК РЕЗЕРВ"</t>
  </si>
  <si>
    <t xml:space="preserve">7604290834</t>
  </si>
  <si>
    <t xml:space="preserve">01-06-2017 00:00:00</t>
  </si>
  <si>
    <t xml:space="preserve">26483296</t>
  </si>
  <si>
    <t xml:space="preserve">ООО "Санаторий "Черная речка"</t>
  </si>
  <si>
    <t xml:space="preserve">7610057882</t>
  </si>
  <si>
    <t xml:space="preserve">26483280</t>
  </si>
  <si>
    <t xml:space="preserve">ООО "Санаторий - профилакторий "Ярославнефтеоргсинтез"</t>
  </si>
  <si>
    <t xml:space="preserve">7627025663</t>
  </si>
  <si>
    <t xml:space="preserve">26483336</t>
  </si>
  <si>
    <t xml:space="preserve">ООО "Санаторий Золотой колос"</t>
  </si>
  <si>
    <t xml:space="preserve">7621006054</t>
  </si>
  <si>
    <t xml:space="preserve">27555004</t>
  </si>
  <si>
    <t xml:space="preserve">ООО "Спецторг Плюс"</t>
  </si>
  <si>
    <t xml:space="preserve">7604076460</t>
  </si>
  <si>
    <t xml:space="preserve">31-05-2005 00:00:00</t>
  </si>
  <si>
    <t xml:space="preserve">30814222</t>
  </si>
  <si>
    <t xml:space="preserve">ООО "Строительная Компания Сокол"</t>
  </si>
  <si>
    <t xml:space="preserve">7604165544</t>
  </si>
  <si>
    <t xml:space="preserve">31459589</t>
  </si>
  <si>
    <t xml:space="preserve">ООО "ТЭК сервис"</t>
  </si>
  <si>
    <t xml:space="preserve">7627053540</t>
  </si>
  <si>
    <t xml:space="preserve">01-08-2020 00:00:00</t>
  </si>
  <si>
    <t xml:space="preserve">31026191</t>
  </si>
  <si>
    <t xml:space="preserve">ООО "ТеплоСервис"</t>
  </si>
  <si>
    <t xml:space="preserve">7612048474</t>
  </si>
  <si>
    <t xml:space="preserve">13-09-2017 00:00:00</t>
  </si>
  <si>
    <t xml:space="preserve">28982870</t>
  </si>
  <si>
    <t xml:space="preserve">ООО "ТеплоЭнергоСтройМонтаж"</t>
  </si>
  <si>
    <t xml:space="preserve">7606074821</t>
  </si>
  <si>
    <t xml:space="preserve">01-05-2015 00:00:00</t>
  </si>
  <si>
    <t xml:space="preserve">27569416</t>
  </si>
  <si>
    <t xml:space="preserve">ООО "Тепловая энергетическая компания - 1"</t>
  </si>
  <si>
    <t xml:space="preserve">7604188573</t>
  </si>
  <si>
    <t xml:space="preserve">26516086</t>
  </si>
  <si>
    <t xml:space="preserve">ООО "Теплогазсервис"</t>
  </si>
  <si>
    <t xml:space="preserve">4415006543</t>
  </si>
  <si>
    <t xml:space="preserve">441501001</t>
  </si>
  <si>
    <t xml:space="preserve">31542760</t>
  </si>
  <si>
    <t xml:space="preserve">ООО "Теплорезерв"</t>
  </si>
  <si>
    <t xml:space="preserve">7603075760</t>
  </si>
  <si>
    <t xml:space="preserve">21-04-2021 00:00:00</t>
  </si>
  <si>
    <t xml:space="preserve">30373524</t>
  </si>
  <si>
    <t xml:space="preserve">ООО "Теплоресурс"</t>
  </si>
  <si>
    <t xml:space="preserve">7604277921</t>
  </si>
  <si>
    <t xml:space="preserve">23-12-2019 00:00:00</t>
  </si>
  <si>
    <t xml:space="preserve">30796099</t>
  </si>
  <si>
    <t xml:space="preserve">ООО "Теплотехник"</t>
  </si>
  <si>
    <t xml:space="preserve">7604278428</t>
  </si>
  <si>
    <t xml:space="preserve">26483204</t>
  </si>
  <si>
    <t xml:space="preserve">ООО "ТехЭкспо"</t>
  </si>
  <si>
    <t xml:space="preserve">7604122607</t>
  </si>
  <si>
    <t xml:space="preserve">26525371</t>
  </si>
  <si>
    <t xml:space="preserve">ООО "УК Левобережье"</t>
  </si>
  <si>
    <t xml:space="preserve">7611018780</t>
  </si>
  <si>
    <t xml:space="preserve">26649232</t>
  </si>
  <si>
    <t xml:space="preserve">ООО "УК Левобережье" передача пос. Краснй Бор</t>
  </si>
  <si>
    <t xml:space="preserve">761101002</t>
  </si>
  <si>
    <t xml:space="preserve">28459632</t>
  </si>
  <si>
    <t xml:space="preserve">ООО "УМПРЭО"</t>
  </si>
  <si>
    <t xml:space="preserve">7612038469</t>
  </si>
  <si>
    <t xml:space="preserve">26-11-2007 00:00:00</t>
  </si>
  <si>
    <t xml:space="preserve">28507335</t>
  </si>
  <si>
    <t xml:space="preserve">ООО "УПТК "Топливоподающие системы"</t>
  </si>
  <si>
    <t xml:space="preserve">7603013073</t>
  </si>
  <si>
    <t xml:space="preserve">31094256</t>
  </si>
  <si>
    <t xml:space="preserve">ООО "УСМЗ"</t>
  </si>
  <si>
    <t xml:space="preserve">7612048636</t>
  </si>
  <si>
    <t xml:space="preserve">05-03-2018 00:00:00</t>
  </si>
  <si>
    <t xml:space="preserve">26483244</t>
  </si>
  <si>
    <t xml:space="preserve">ООО "Угличский завод минеральной воды"</t>
  </si>
  <si>
    <t xml:space="preserve">7612003339</t>
  </si>
  <si>
    <t xml:space="preserve">26483256</t>
  </si>
  <si>
    <t xml:space="preserve">ООО "Угличский экспериментальный ремонтно-механический завод"</t>
  </si>
  <si>
    <t xml:space="preserve">7612033358</t>
  </si>
  <si>
    <t xml:space="preserve">31-08-2021 00:00:00</t>
  </si>
  <si>
    <t xml:space="preserve">28135241</t>
  </si>
  <si>
    <t xml:space="preserve">ООО "Управляющая производственно-торговая компания "Топливоподающие системы"</t>
  </si>
  <si>
    <t xml:space="preserve">30856146</t>
  </si>
  <si>
    <t xml:space="preserve">ООО "Уют Сервис"</t>
  </si>
  <si>
    <t xml:space="preserve">7604234678</t>
  </si>
  <si>
    <t xml:space="preserve">28453584</t>
  </si>
  <si>
    <t xml:space="preserve">ООО "Хуадянь-Тенинская ТЭЦ"</t>
  </si>
  <si>
    <t xml:space="preserve">7604217961</t>
  </si>
  <si>
    <t xml:space="preserve">30-01-2018 00:00:00</t>
  </si>
  <si>
    <t xml:space="preserve">30373563</t>
  </si>
  <si>
    <t xml:space="preserve">ООО "Центр внедрения возобновляемых источников энергии"</t>
  </si>
  <si>
    <t xml:space="preserve">7602098469</t>
  </si>
  <si>
    <t xml:space="preserve">27-07-2020 00:00:00</t>
  </si>
  <si>
    <t xml:space="preserve">31457276</t>
  </si>
  <si>
    <t xml:space="preserve">ООО "ЭКОПЕТРОВСК"</t>
  </si>
  <si>
    <t xml:space="preserve">6444009736</t>
  </si>
  <si>
    <t xml:space="preserve">644401001</t>
  </si>
  <si>
    <t xml:space="preserve">13-02-2018 00:00:00</t>
  </si>
  <si>
    <t xml:space="preserve">27412481</t>
  </si>
  <si>
    <t xml:space="preserve">ООО "Энергетическая Компания "ТеплоПром"</t>
  </si>
  <si>
    <t xml:space="preserve">7609024427</t>
  </si>
  <si>
    <t xml:space="preserve">20-07-2011 00:00:00</t>
  </si>
  <si>
    <t xml:space="preserve">26483210</t>
  </si>
  <si>
    <t xml:space="preserve">ООО "Энергия-1"</t>
  </si>
  <si>
    <t xml:space="preserve">7605005021</t>
  </si>
  <si>
    <t xml:space="preserve">27971145</t>
  </si>
  <si>
    <t xml:space="preserve">ООО "Энергокомпания"</t>
  </si>
  <si>
    <t xml:space="preserve">7612044470</t>
  </si>
  <si>
    <t xml:space="preserve">26483172</t>
  </si>
  <si>
    <t xml:space="preserve">ООО "Энергомаш"</t>
  </si>
  <si>
    <t xml:space="preserve">7603022945</t>
  </si>
  <si>
    <t xml:space="preserve">26483164</t>
  </si>
  <si>
    <t xml:space="preserve">ООО "Ярославская фабрика валяной обуви"</t>
  </si>
  <si>
    <t xml:space="preserve">7603015433</t>
  </si>
  <si>
    <t xml:space="preserve">31096235</t>
  </si>
  <si>
    <t xml:space="preserve">ООО "Ярославские коммунальные сети"</t>
  </si>
  <si>
    <t xml:space="preserve">7602092114</t>
  </si>
  <si>
    <t xml:space="preserve">31314675</t>
  </si>
  <si>
    <t xml:space="preserve">17-05-2019 00:00:00</t>
  </si>
  <si>
    <t xml:space="preserve">31458273</t>
  </si>
  <si>
    <t xml:space="preserve">Общество с ограниченной ответственностью "Комплекс развития территорий"</t>
  </si>
  <si>
    <t xml:space="preserve">7733528958</t>
  </si>
  <si>
    <t xml:space="preserve">16-09-2004 00:00:00</t>
  </si>
  <si>
    <t xml:space="preserve">26483403</t>
  </si>
  <si>
    <t xml:space="preserve">ПАО "Научно-производственное объединение Фильтры индустриальные газоочистные"</t>
  </si>
  <si>
    <t xml:space="preserve">7609001719</t>
  </si>
  <si>
    <t xml:space="preserve">26483377</t>
  </si>
  <si>
    <t xml:space="preserve">ПАО "ОДК-Сатурн"</t>
  </si>
  <si>
    <t xml:space="preserve">7610052644</t>
  </si>
  <si>
    <t xml:space="preserve">26514608</t>
  </si>
  <si>
    <t xml:space="preserve">ПАО "РОМЗ"</t>
  </si>
  <si>
    <t xml:space="preserve">7609000881</t>
  </si>
  <si>
    <t xml:space="preserve">26523308</t>
  </si>
  <si>
    <t xml:space="preserve">ПАО "ТГК-2"</t>
  </si>
  <si>
    <t xml:space="preserve">26483170</t>
  </si>
  <si>
    <t xml:space="preserve">760631001</t>
  </si>
  <si>
    <t xml:space="preserve">31024154</t>
  </si>
  <si>
    <t xml:space="preserve">ПАО "Ярославский завод "Красный Маяк"</t>
  </si>
  <si>
    <t xml:space="preserve">7601000022</t>
  </si>
  <si>
    <t xml:space="preserve">01-11-2017 00:00:00</t>
  </si>
  <si>
    <t xml:space="preserve">26650304</t>
  </si>
  <si>
    <t xml:space="preserve">ПАО "Ярославский ордена Ленина и ордена Октябрьской революции шинный завод"</t>
  </si>
  <si>
    <t xml:space="preserve">7601001509</t>
  </si>
  <si>
    <t xml:space="preserve">760150001</t>
  </si>
  <si>
    <t xml:space="preserve">26483178</t>
  </si>
  <si>
    <t xml:space="preserve">ПАО "Ярославский радиозавод"</t>
  </si>
  <si>
    <t xml:space="preserve">7601000086</t>
  </si>
  <si>
    <t xml:space="preserve">26525354</t>
  </si>
  <si>
    <t xml:space="preserve">Переславское линейно-производственное управление магистральных газопроводов ООО "Газпром трансгаз Ухта"</t>
  </si>
  <si>
    <t xml:space="preserve">762232002</t>
  </si>
  <si>
    <t xml:space="preserve">26923665</t>
  </si>
  <si>
    <t xml:space="preserve">26483308</t>
  </si>
  <si>
    <t xml:space="preserve">СПК "Рыбинский"</t>
  </si>
  <si>
    <t xml:space="preserve">7610041748</t>
  </si>
  <si>
    <t xml:space="preserve">26449407</t>
  </si>
  <si>
    <t xml:space="preserve">Свечинский районный телекоммуникационный узел (РТУ) Кировского филиала ОАО "Волгателеком"</t>
  </si>
  <si>
    <t xml:space="preserve">5260901817</t>
  </si>
  <si>
    <t xml:space="preserve">432832002</t>
  </si>
  <si>
    <t xml:space="preserve">24-06-2011 00:00:00</t>
  </si>
  <si>
    <t xml:space="preserve">26836275</t>
  </si>
  <si>
    <t xml:space="preserve">Северная Дирекция по тепловодоснабжению структурное подразделение Центральной дирекции по тепловодоснабжению - филиала ОАО "РЖД"</t>
  </si>
  <si>
    <t xml:space="preserve">760445028</t>
  </si>
  <si>
    <t xml:space="preserve">26483252</t>
  </si>
  <si>
    <t xml:space="preserve">ФБУ ИК-3 УФСИН РФ по Ярославской области</t>
  </si>
  <si>
    <t xml:space="preserve">7612010960</t>
  </si>
  <si>
    <t xml:space="preserve">26650317</t>
  </si>
  <si>
    <t xml:space="preserve">ФГ КЭУ "Ярославская КЭЧ" Министерства обороны РФ</t>
  </si>
  <si>
    <t xml:space="preserve">7604002910</t>
  </si>
  <si>
    <t xml:space="preserve">30903763</t>
  </si>
  <si>
    <t xml:space="preserve">ФГБУ "ЦЖКУ" МИНОБОРОНЫ РОССИИ</t>
  </si>
  <si>
    <t xml:space="preserve">7729314745</t>
  </si>
  <si>
    <t xml:space="preserve">770101001</t>
  </si>
  <si>
    <t xml:space="preserve">31499853</t>
  </si>
  <si>
    <t xml:space="preserve">ФГБУ ЦЖКУ МО РФ (филиал по ЗВО) ЖКС № 19</t>
  </si>
  <si>
    <t xml:space="preserve">760445004</t>
  </si>
  <si>
    <t xml:space="preserve">26483224</t>
  </si>
  <si>
    <t xml:space="preserve">ФГУП "81 Центральная инженерная база" МО РФ</t>
  </si>
  <si>
    <t xml:space="preserve">7604159332</t>
  </si>
  <si>
    <t xml:space="preserve">26483266</t>
  </si>
  <si>
    <t xml:space="preserve">ФГУП "Григорьевское"</t>
  </si>
  <si>
    <t xml:space="preserve">7627000901</t>
  </si>
  <si>
    <t xml:space="preserve">16-02-2021 00:00:00</t>
  </si>
  <si>
    <t xml:space="preserve">26483238</t>
  </si>
  <si>
    <t xml:space="preserve">ФГУП Экспериментальный сыродельный завод</t>
  </si>
  <si>
    <t xml:space="preserve">7612002423</t>
  </si>
  <si>
    <t xml:space="preserve">17-03-2021 00:00:00</t>
  </si>
  <si>
    <t xml:space="preserve">26483391</t>
  </si>
  <si>
    <t xml:space="preserve">ФКУ Следственный изолятор 2 УФСИН по Ярославской области</t>
  </si>
  <si>
    <t xml:space="preserve">7610028000</t>
  </si>
  <si>
    <t xml:space="preserve">28160602</t>
  </si>
  <si>
    <t xml:space="preserve">ФКУ Следственный изолятор № 1 УФСИН России по Ярославской области</t>
  </si>
  <si>
    <t xml:space="preserve">7607008444</t>
  </si>
  <si>
    <t xml:space="preserve">31253180</t>
  </si>
  <si>
    <t xml:space="preserve">Филиал "Крома" ООО "Завод Технофлекс"</t>
  </si>
  <si>
    <t xml:space="preserve">6229024796</t>
  </si>
  <si>
    <t xml:space="preserve">22-06-2018 00:00:00</t>
  </si>
  <si>
    <t xml:space="preserve">30849324</t>
  </si>
  <si>
    <t xml:space="preserve">Филиал АО "Кордиант" в городе Ярославле (ЯШЗ)</t>
  </si>
  <si>
    <t xml:space="preserve">760643002</t>
  </si>
  <si>
    <t xml:space="preserve">07-10-2016 00:00:00</t>
  </si>
  <si>
    <t xml:space="preserve">26649294</t>
  </si>
  <si>
    <t xml:space="preserve">Филиал ОАО "ФСК ЕЭС"- Валдайское предприятие магистральных электрических сетей</t>
  </si>
  <si>
    <t xml:space="preserve">4716016979</t>
  </si>
  <si>
    <t xml:space="preserve">997450001</t>
  </si>
  <si>
    <t xml:space="preserve">26483447</t>
  </si>
  <si>
    <t xml:space="preserve">Филиал ООО "Транснефть-Балтика"-Ярославское районное нефтепроводное управление</t>
  </si>
  <si>
    <t xml:space="preserve">4704041900</t>
  </si>
  <si>
    <t xml:space="preserve">762702001</t>
  </si>
  <si>
    <t xml:space="preserve">26557735</t>
  </si>
  <si>
    <t xml:space="preserve">Филиал ФГУП "ЖКУ РАН" Борок</t>
  </si>
  <si>
    <t xml:space="preserve">7736111591</t>
  </si>
  <si>
    <t xml:space="preserve">762043001</t>
  </si>
  <si>
    <t xml:space="preserve">28507308</t>
  </si>
  <si>
    <t xml:space="preserve">Филиал в Ярославской и Костромской областях ОАО междугородной и международной электрической связи "Ростелеком"</t>
  </si>
  <si>
    <t xml:space="preserve">26649247</t>
  </si>
  <si>
    <t xml:space="preserve">Филиал в Ярославской и Костромской областях ПАО междугородной и международной электрической связи "Ростелеком"</t>
  </si>
  <si>
    <t xml:space="preserve">760443003</t>
  </si>
  <si>
    <t xml:space="preserve">26524662</t>
  </si>
  <si>
    <t xml:space="preserve">ЧУЗ "КБ "РЖД-Медицина" г. Ярославль</t>
  </si>
  <si>
    <t xml:space="preserve">7604068188</t>
  </si>
  <si>
    <t xml:space="preserve">26483342</t>
  </si>
  <si>
    <t xml:space="preserve">Шопшинское МП ЖКХ</t>
  </si>
  <si>
    <t xml:space="preserve">7616006316</t>
  </si>
  <si>
    <t xml:space="preserve">30-11-2020 00:00:00</t>
  </si>
  <si>
    <t xml:space="preserve">28798643</t>
  </si>
  <si>
    <t xml:space="preserve">Ярославская дистанция гражданских сооружений СП Северной дирекции по эксплуатации зданий и сооружений СП СЖД филиала ОАО "РЖД"</t>
  </si>
  <si>
    <t xml:space="preserve">760445099</t>
  </si>
  <si>
    <t xml:space="preserve">26651555</t>
  </si>
  <si>
    <t xml:space="preserve">Ярославская дистанция гражданских сооружений, водоснабжения и водоотведения ЯО СЖД- филиала ОАО "РЖД" кот. ст. Лютово</t>
  </si>
  <si>
    <t xml:space="preserve">997650009</t>
  </si>
  <si>
    <t xml:space="preserve">26526614</t>
  </si>
  <si>
    <t xml:space="preserve">Ярославская дистанция гражданских сооружений, водоснабжения и водоотведения ЯО СЖД-филиала ОАО "РЖД"</t>
  </si>
  <si>
    <t xml:space="preserve">997650007</t>
  </si>
  <si>
    <t xml:space="preserve">26526612</t>
  </si>
  <si>
    <t xml:space="preserve">Ярославский участок дирекции по тепловодоснабжению СЖД- филиала ОАО "РЖД" станция Сахареж</t>
  </si>
  <si>
    <t xml:space="preserve">997650006</t>
  </si>
  <si>
    <t xml:space="preserve">26526551</t>
  </si>
  <si>
    <t xml:space="preserve">Ярославский участок дирекции по тепловодоснабжению СЖД- филиала ОАО "РЖД", котельные крановых мастерских, вокзальная котельная</t>
  </si>
  <si>
    <t xml:space="preserve">997650005</t>
  </si>
  <si>
    <t xml:space="preserve">26651562</t>
  </si>
  <si>
    <t xml:space="preserve">Ярославский участок дирекции по тепловодоснабжению СЖД-филиала ОАО "РЖД" кот. ст. Ростов</t>
  </si>
  <si>
    <t xml:space="preserve">997650012</t>
  </si>
  <si>
    <t xml:space="preserve">26483248</t>
  </si>
  <si>
    <t xml:space="preserve">Ярославское отделение ТОи РМЭС Валдайского предприятия филиала ОАО "Главсетьсервис ЕНЭС" Центральный</t>
  </si>
  <si>
    <t xml:space="preserve">7719665783</t>
  </si>
  <si>
    <t xml:space="preserve">995231001</t>
  </si>
  <si>
    <t xml:space="preserve">26769949</t>
  </si>
  <si>
    <t xml:space="preserve">МАУ "Тепловые сети" передача г/в от ОАО "ТЭСС"</t>
  </si>
  <si>
    <t xml:space="preserve">761201003</t>
  </si>
  <si>
    <t xml:space="preserve">26769955</t>
  </si>
  <si>
    <t xml:space="preserve">МАУ "Тепловые сети" передача г/в от ОАО "Угличский речной порт"</t>
  </si>
  <si>
    <t xml:space="preserve">761201005</t>
  </si>
  <si>
    <t xml:space="preserve">26769952</t>
  </si>
  <si>
    <t xml:space="preserve">МАУ "Тепловые сети" передача г/в от ООО "УЭРМЗ"</t>
  </si>
  <si>
    <t xml:space="preserve">761201004</t>
  </si>
  <si>
    <t xml:space="preserve">26789085</t>
  </si>
  <si>
    <t xml:space="preserve">МАУ "Тепловые сети" передача г/в от ФГУП "Эксперим.биофабрика"</t>
  </si>
  <si>
    <t xml:space="preserve">761201006</t>
  </si>
  <si>
    <t xml:space="preserve">26769969</t>
  </si>
  <si>
    <t xml:space="preserve">МУП "Энергетик" ГВС от ООО "МЭС" п.Молодежный</t>
  </si>
  <si>
    <t xml:space="preserve">760801004</t>
  </si>
  <si>
    <t xml:space="preserve">26769972</t>
  </si>
  <si>
    <t xml:space="preserve">МУП "Энергетик" ГВС от ООО "МЭС" п.Чкаловский</t>
  </si>
  <si>
    <t xml:space="preserve">760801005</t>
  </si>
  <si>
    <t xml:space="preserve">26769964</t>
  </si>
  <si>
    <t xml:space="preserve">МУП "Энергетик" ГВС от ООО "Переславский технопарк"</t>
  </si>
  <si>
    <t xml:space="preserve">760801003</t>
  </si>
  <si>
    <t xml:space="preserve">26769748</t>
  </si>
  <si>
    <t xml:space="preserve">МУП РМО ЯО "Коммунальные системы" передача г/в п.Каменники</t>
  </si>
  <si>
    <t xml:space="preserve">23-08-2011 00:00:00</t>
  </si>
  <si>
    <t xml:space="preserve">26525292</t>
  </si>
  <si>
    <t xml:space="preserve">ОАО "Газпромнефть - Ярославль"</t>
  </si>
  <si>
    <t xml:space="preserve">7604140860</t>
  </si>
  <si>
    <t xml:space="preserve">20-03-2013 00:00:00</t>
  </si>
  <si>
    <t xml:space="preserve">26483212</t>
  </si>
  <si>
    <t xml:space="preserve">ОАО "Славнефть-Ярославнефтепродукт"</t>
  </si>
  <si>
    <t xml:space="preserve">7601000520</t>
  </si>
  <si>
    <t xml:space="preserve">29-02-2012 00:00:00</t>
  </si>
  <si>
    <t xml:space="preserve">26769808</t>
  </si>
  <si>
    <t xml:space="preserve">ОАО "Ярославская генерирующая компания" передача г/в от ЗАО Угличэнергия</t>
  </si>
  <si>
    <t xml:space="preserve">28043778</t>
  </si>
  <si>
    <t xml:space="preserve">11-06-2013 00:00:00</t>
  </si>
  <si>
    <t xml:space="preserve">28142682</t>
  </si>
  <si>
    <t xml:space="preserve">АО "Корпорация развития Ярослаской области"</t>
  </si>
  <si>
    <t xml:space="preserve">7604155916</t>
  </si>
  <si>
    <t xml:space="preserve">26514537</t>
  </si>
  <si>
    <t xml:space="preserve">АО "Санаторий "Малые соли"</t>
  </si>
  <si>
    <t xml:space="preserve">7621007192</t>
  </si>
  <si>
    <t xml:space="preserve">26483302</t>
  </si>
  <si>
    <t xml:space="preserve">АО "Ярославский бройлер"</t>
  </si>
  <si>
    <t xml:space="preserve">26514575</t>
  </si>
  <si>
    <t xml:space="preserve">АО "Ярославский завод дизельной аппаратуры"</t>
  </si>
  <si>
    <t xml:space="preserve">7601000833</t>
  </si>
  <si>
    <t xml:space="preserve">31032367</t>
  </si>
  <si>
    <t xml:space="preserve">ГП ЯО "Водоканал Некоузского района"</t>
  </si>
  <si>
    <t xml:space="preserve">7620006767</t>
  </si>
  <si>
    <t xml:space="preserve">30-06-2017 00:00:00</t>
  </si>
  <si>
    <t xml:space="preserve">25-07-2019 00:00:00</t>
  </si>
  <si>
    <t xml:space="preserve">26555031</t>
  </si>
  <si>
    <t xml:space="preserve">ЗАО "Новый путь"</t>
  </si>
  <si>
    <t xml:space="preserve">7609012767</t>
  </si>
  <si>
    <t xml:space="preserve">27971576</t>
  </si>
  <si>
    <t xml:space="preserve">ИП Киселёв К.И.</t>
  </si>
  <si>
    <t xml:space="preserve">761700130413</t>
  </si>
  <si>
    <t xml:space="preserve">03-11-2023 00:00:00</t>
  </si>
  <si>
    <t xml:space="preserve">27670277</t>
  </si>
  <si>
    <t xml:space="preserve">МАУ "Энергосело"</t>
  </si>
  <si>
    <t xml:space="preserve">7612041158</t>
  </si>
  <si>
    <t xml:space="preserve">22-05-2012 00:00:00</t>
  </si>
  <si>
    <t xml:space="preserve">27412535</t>
  </si>
  <si>
    <t xml:space="preserve">МКУ "Многофункциональный центр развития" Ярославского муниципального района</t>
  </si>
  <si>
    <t xml:space="preserve">7606072278</t>
  </si>
  <si>
    <t xml:space="preserve">760601003</t>
  </si>
  <si>
    <t xml:space="preserve">31499219</t>
  </si>
  <si>
    <t xml:space="preserve">МП ЯМР "ВКХ"</t>
  </si>
  <si>
    <t xml:space="preserve">7627054456</t>
  </si>
  <si>
    <t xml:space="preserve">28-04-2021 00:00:00</t>
  </si>
  <si>
    <t xml:space="preserve">31313912</t>
  </si>
  <si>
    <t xml:space="preserve">МУП "Водный ресурс" Некрасовского муниципального района</t>
  </si>
  <si>
    <t xml:space="preserve">7621011199</t>
  </si>
  <si>
    <t xml:space="preserve">16-02-2023 00:00:00</t>
  </si>
  <si>
    <t xml:space="preserve">26483490</t>
  </si>
  <si>
    <t xml:space="preserve">МУП "Водоканал"</t>
  </si>
  <si>
    <t xml:space="preserve">7611011457</t>
  </si>
  <si>
    <t xml:space="preserve">26483504</t>
  </si>
  <si>
    <t xml:space="preserve">7612001684</t>
  </si>
  <si>
    <t xml:space="preserve">26483500</t>
  </si>
  <si>
    <t xml:space="preserve">МУП "Водопроводно-канализационное хозяйство"</t>
  </si>
  <si>
    <t xml:space="preserve">7621005491</t>
  </si>
  <si>
    <t xml:space="preserve">26483143</t>
  </si>
  <si>
    <t xml:space="preserve">МУП "Жилищно-коммунальное хозяйство" ГО г. Переславля-Залесскиого</t>
  </si>
  <si>
    <t xml:space="preserve">7608011538</t>
  </si>
  <si>
    <t xml:space="preserve">27566481</t>
  </si>
  <si>
    <t xml:space="preserve">МУП "Комжилцентр" Угличского муниципального района</t>
  </si>
  <si>
    <t xml:space="preserve">7612043934</t>
  </si>
  <si>
    <t xml:space="preserve">31223264</t>
  </si>
  <si>
    <t xml:space="preserve">МУП "Комплекс"</t>
  </si>
  <si>
    <t xml:space="preserve">7608030080</t>
  </si>
  <si>
    <t xml:space="preserve">26-07-2017 00:00:00</t>
  </si>
  <si>
    <t xml:space="preserve">31534231</t>
  </si>
  <si>
    <t xml:space="preserve">МУП "Некрасовский водохозяйственный комплекс" Некрасовского МР</t>
  </si>
  <si>
    <t xml:space="preserve">7627054390</t>
  </si>
  <si>
    <t xml:space="preserve">15-04-2021 00:00:00</t>
  </si>
  <si>
    <t xml:space="preserve">26514517</t>
  </si>
  <si>
    <t xml:space="preserve">МУП "Обслуживание систем и коммуникаций Заячье-Холмского сельского поселения"</t>
  </si>
  <si>
    <t xml:space="preserve">7616008842</t>
  </si>
  <si>
    <t xml:space="preserve">17-08-2020 00:00:00</t>
  </si>
  <si>
    <t xml:space="preserve">31457382</t>
  </si>
  <si>
    <t xml:space="preserve">МУП "Сервис"</t>
  </si>
  <si>
    <t xml:space="preserve">7608000543</t>
  </si>
  <si>
    <t xml:space="preserve">28426797</t>
  </si>
  <si>
    <t xml:space="preserve">ОАО "Водоканал ЯГК"</t>
  </si>
  <si>
    <t xml:space="preserve">7606091190</t>
  </si>
  <si>
    <t xml:space="preserve">02-07-2013 00:00:00</t>
  </si>
  <si>
    <t xml:space="preserve">29-03-2023 00:00:00</t>
  </si>
  <si>
    <t xml:space="preserve">26514606</t>
  </si>
  <si>
    <t xml:space="preserve">ОАО "Водоканал"</t>
  </si>
  <si>
    <t xml:space="preserve">7608015363</t>
  </si>
  <si>
    <t xml:space="preserve">28-08-2012 00:00:00</t>
  </si>
  <si>
    <t xml:space="preserve">28159505</t>
  </si>
  <si>
    <t xml:space="preserve">ОАО "Коммунальные услуги"</t>
  </si>
  <si>
    <t xml:space="preserve">7609026368</t>
  </si>
  <si>
    <t xml:space="preserve">01-07-2013 00:00:00</t>
  </si>
  <si>
    <t xml:space="preserve">16-09-2021 00:00:00</t>
  </si>
  <si>
    <t xml:space="preserve">28955317</t>
  </si>
  <si>
    <t xml:space="preserve">ОАО "Некрасовский машиностроительный завод"</t>
  </si>
  <si>
    <t xml:space="preserve">7621000052</t>
  </si>
  <si>
    <t xml:space="preserve">26514577</t>
  </si>
  <si>
    <t xml:space="preserve">ОАО "Пошехонский Водоканал"</t>
  </si>
  <si>
    <t xml:space="preserve">7624004520</t>
  </si>
  <si>
    <t xml:space="preserve">31342831</t>
  </si>
  <si>
    <t xml:space="preserve">ОАО "Рыбинский хладокомбинат "Мясомолторг"</t>
  </si>
  <si>
    <t xml:space="preserve">7610004400</t>
  </si>
  <si>
    <t xml:space="preserve">27-12-2002 00:00:00</t>
  </si>
  <si>
    <t xml:space="preserve">26514535</t>
  </si>
  <si>
    <t xml:space="preserve">ОАО "ЯРПУ ЖКХ"</t>
  </si>
  <si>
    <t xml:space="preserve">7627032607</t>
  </si>
  <si>
    <t xml:space="preserve">01-11-2010 00:00:00</t>
  </si>
  <si>
    <t xml:space="preserve">26524898</t>
  </si>
  <si>
    <t xml:space="preserve">ОАО "Ярославский судостроительный завод"</t>
  </si>
  <si>
    <t xml:space="preserve">7601001080</t>
  </si>
  <si>
    <t xml:space="preserve">26483358</t>
  </si>
  <si>
    <t xml:space="preserve">ООО "Аграрник"</t>
  </si>
  <si>
    <t xml:space="preserve">7614000012</t>
  </si>
  <si>
    <t xml:space="preserve">26514579</t>
  </si>
  <si>
    <t xml:space="preserve">ООО "Агрофирма Авангард"</t>
  </si>
  <si>
    <t xml:space="preserve">7612039039</t>
  </si>
  <si>
    <t xml:space="preserve">26650462</t>
  </si>
  <si>
    <t xml:space="preserve">ООО "Водник"</t>
  </si>
  <si>
    <t xml:space="preserve">7617008274</t>
  </si>
  <si>
    <t xml:space="preserve">10-11-2012 00:00:00</t>
  </si>
  <si>
    <t xml:space="preserve">27956529</t>
  </si>
  <si>
    <t xml:space="preserve">ООО "Водоканал"</t>
  </si>
  <si>
    <t xml:space="preserve">7611020758</t>
  </si>
  <si>
    <t xml:space="preserve">30858607</t>
  </si>
  <si>
    <t xml:space="preserve">ООО "Водоканал-В"</t>
  </si>
  <si>
    <t xml:space="preserve">7612047569</t>
  </si>
  <si>
    <t xml:space="preserve">01-10-2017 00:00:00</t>
  </si>
  <si>
    <t xml:space="preserve">30917071</t>
  </si>
  <si>
    <t xml:space="preserve">ООО "Водоканал-С"</t>
  </si>
  <si>
    <t xml:space="preserve">7612048153</t>
  </si>
  <si>
    <t xml:space="preserve">25-01-2017 00:00:00</t>
  </si>
  <si>
    <t xml:space="preserve">10-06-2021 00:00:00</t>
  </si>
  <si>
    <t xml:space="preserve">31701334</t>
  </si>
  <si>
    <t xml:space="preserve">ООО "Водоснабжение"</t>
  </si>
  <si>
    <t xml:space="preserve">7610137707</t>
  </si>
  <si>
    <t xml:space="preserve">16-09-2022 00:00:00</t>
  </si>
  <si>
    <t xml:space="preserve">28982113</t>
  </si>
  <si>
    <t xml:space="preserve">ООО "ГАЗДизель"</t>
  </si>
  <si>
    <t xml:space="preserve">7602061074</t>
  </si>
  <si>
    <t xml:space="preserve">25-06-2015 00:00:00</t>
  </si>
  <si>
    <t xml:space="preserve">26514511</t>
  </si>
  <si>
    <t xml:space="preserve">ООО "Гаврилов-Ямский торгово-сервисный центр"</t>
  </si>
  <si>
    <t xml:space="preserve">7616006281</t>
  </si>
  <si>
    <t xml:space="preserve">26-11-2020 00:00:00</t>
  </si>
  <si>
    <t xml:space="preserve">26555029</t>
  </si>
  <si>
    <t xml:space="preserve">ООО "Жилищно-коммунальное хозяйство"</t>
  </si>
  <si>
    <t xml:space="preserve">7619004490</t>
  </si>
  <si>
    <t xml:space="preserve">31542871</t>
  </si>
  <si>
    <t xml:space="preserve">ООО "Интерстрой"</t>
  </si>
  <si>
    <t xml:space="preserve">7603072826</t>
  </si>
  <si>
    <t xml:space="preserve">26424139</t>
  </si>
  <si>
    <t xml:space="preserve">ООО "Пивоваренная компания "Балтика"</t>
  </si>
  <si>
    <t xml:space="preserve">7802849641</t>
  </si>
  <si>
    <t xml:space="preserve">780201001</t>
  </si>
  <si>
    <t xml:space="preserve">30808971</t>
  </si>
  <si>
    <t xml:space="preserve">ООО "Региональная водоснабжающая компания"</t>
  </si>
  <si>
    <t xml:space="preserve">7604297830</t>
  </si>
  <si>
    <t xml:space="preserve">30-11-2021 00:00:00</t>
  </si>
  <si>
    <t xml:space="preserve">31678435</t>
  </si>
  <si>
    <t xml:space="preserve">ООО "Ресурс ВКХ"</t>
  </si>
  <si>
    <t xml:space="preserve">7616011355</t>
  </si>
  <si>
    <t xml:space="preserve">27566347</t>
  </si>
  <si>
    <t xml:space="preserve">ООО "Ресурсоснабжение"</t>
  </si>
  <si>
    <t xml:space="preserve">7619004910</t>
  </si>
  <si>
    <t xml:space="preserve">01-10-2012 00:00:00</t>
  </si>
  <si>
    <t xml:space="preserve">28869361</t>
  </si>
  <si>
    <t xml:space="preserve">ООО "Русь"</t>
  </si>
  <si>
    <t xml:space="preserve">7617009430</t>
  </si>
  <si>
    <t xml:space="preserve">26483250</t>
  </si>
  <si>
    <t xml:space="preserve">ООО "Сельхозтехника"</t>
  </si>
  <si>
    <t xml:space="preserve">7612047061</t>
  </si>
  <si>
    <t xml:space="preserve">26770645</t>
  </si>
  <si>
    <t xml:space="preserve">ООО "Слобода"</t>
  </si>
  <si>
    <t xml:space="preserve">7621006978</t>
  </si>
  <si>
    <t xml:space="preserve">28792268</t>
  </si>
  <si>
    <t xml:space="preserve">ООО "ТУТАЕВСКИЙ ВОДОКАНАЛ"</t>
  </si>
  <si>
    <t xml:space="preserve">7611023188</t>
  </si>
  <si>
    <t xml:space="preserve">04-02-2014 00:00:00</t>
  </si>
  <si>
    <t xml:space="preserve">30832043</t>
  </si>
  <si>
    <t xml:space="preserve">ООО "Тимекс"</t>
  </si>
  <si>
    <t xml:space="preserve">7720587226</t>
  </si>
  <si>
    <t xml:space="preserve">772901001</t>
  </si>
  <si>
    <t xml:space="preserve">31433015</t>
  </si>
  <si>
    <t xml:space="preserve">ООО "УК "Жилсервис"</t>
  </si>
  <si>
    <t xml:space="preserve">7612038388</t>
  </si>
  <si>
    <t xml:space="preserve">23-10-2007 00:00:00</t>
  </si>
  <si>
    <t xml:space="preserve">31391625</t>
  </si>
  <si>
    <t xml:space="preserve">ООО "ФОРТ"</t>
  </si>
  <si>
    <t xml:space="preserve">7604213491</t>
  </si>
  <si>
    <t xml:space="preserve">31232019</t>
  </si>
  <si>
    <t xml:space="preserve">ООО "Чистая вода"</t>
  </si>
  <si>
    <t xml:space="preserve">7611999090</t>
  </si>
  <si>
    <t xml:space="preserve">19-04-2018 00:00:00</t>
  </si>
  <si>
    <t xml:space="preserve">26768552</t>
  </si>
  <si>
    <t xml:space="preserve">ООО "ЭРО"</t>
  </si>
  <si>
    <t xml:space="preserve">7611014401</t>
  </si>
  <si>
    <t xml:space="preserve">31457359</t>
  </si>
  <si>
    <t xml:space="preserve">ООО "ЭкоСтрой"</t>
  </si>
  <si>
    <t xml:space="preserve">7611019801</t>
  </si>
  <si>
    <t xml:space="preserve">12-11-2015 00:00:00</t>
  </si>
  <si>
    <t xml:space="preserve">26514551</t>
  </si>
  <si>
    <t xml:space="preserve">ООО Агрофирма "Осенево"</t>
  </si>
  <si>
    <t xml:space="preserve">7616008338</t>
  </si>
  <si>
    <t xml:space="preserve">17-10-2011 00:00:00</t>
  </si>
  <si>
    <t xml:space="preserve">31701596</t>
  </si>
  <si>
    <t xml:space="preserve">ООО СЗ "СТРОЙ ПРОФИТ"</t>
  </si>
  <si>
    <t xml:space="preserve">7725338047</t>
  </si>
  <si>
    <t xml:space="preserve">774301001</t>
  </si>
  <si>
    <t xml:space="preserve">30-10-2016 00:00:00</t>
  </si>
  <si>
    <t xml:space="preserve">26834936</t>
  </si>
  <si>
    <t xml:space="preserve">ООО Управляющая компания "Содействие"</t>
  </si>
  <si>
    <t xml:space="preserve">7611018540</t>
  </si>
  <si>
    <t xml:space="preserve">30476462</t>
  </si>
  <si>
    <t xml:space="preserve">Обособленное подразделение АО "ГУ ЖКХ"</t>
  </si>
  <si>
    <t xml:space="preserve">370245001</t>
  </si>
  <si>
    <t xml:space="preserve">26834932</t>
  </si>
  <si>
    <t xml:space="preserve">ПАО "Автодизель" (ЯМЗ)</t>
  </si>
  <si>
    <t xml:space="preserve">7601000640</t>
  </si>
  <si>
    <t xml:space="preserve">760250001</t>
  </si>
  <si>
    <t xml:space="preserve">26483546</t>
  </si>
  <si>
    <t xml:space="preserve">ПАО "Славнефть-Ярославнефтеоргсинтез"</t>
  </si>
  <si>
    <t xml:space="preserve">7601001107</t>
  </si>
  <si>
    <t xml:space="preserve">10-10-2002 00:00:00</t>
  </si>
  <si>
    <t xml:space="preserve">26514587</t>
  </si>
  <si>
    <t xml:space="preserve">ПК "ПМК-16"</t>
  </si>
  <si>
    <t xml:space="preserve">7612021610</t>
  </si>
  <si>
    <t xml:space="preserve">01-08-2010 00:00:00</t>
  </si>
  <si>
    <t xml:space="preserve">26833575</t>
  </si>
  <si>
    <t xml:space="preserve">ПСФ "Автодизель-Сервис" АО</t>
  </si>
  <si>
    <t xml:space="preserve">7602000794</t>
  </si>
  <si>
    <t xml:space="preserve">27971554</t>
  </si>
  <si>
    <t xml:space="preserve">СПК "50 лет Октября"</t>
  </si>
  <si>
    <t xml:space="preserve">7617000589</t>
  </si>
  <si>
    <t xml:space="preserve">26483328</t>
  </si>
  <si>
    <t xml:space="preserve">СПК "Искробол"</t>
  </si>
  <si>
    <t xml:space="preserve">7621005621</t>
  </si>
  <si>
    <t xml:space="preserve">15-09-2011 00:00:00</t>
  </si>
  <si>
    <t xml:space="preserve">26768364</t>
  </si>
  <si>
    <t xml:space="preserve">СПК "Коммунар"</t>
  </si>
  <si>
    <t xml:space="preserve">7621004963</t>
  </si>
  <si>
    <t xml:space="preserve">26514612</t>
  </si>
  <si>
    <t xml:space="preserve">СПК "Нива"</t>
  </si>
  <si>
    <t xml:space="preserve">7616005954</t>
  </si>
  <si>
    <t xml:space="preserve">26770651</t>
  </si>
  <si>
    <t xml:space="preserve">СПК "Новая жизнь"</t>
  </si>
  <si>
    <t xml:space="preserve">7616005979</t>
  </si>
  <si>
    <t xml:space="preserve">10-05-2017 00:00:00</t>
  </si>
  <si>
    <t xml:space="preserve">26514557</t>
  </si>
  <si>
    <t xml:space="preserve">ФГБУЗ "Санаторий Углич"</t>
  </si>
  <si>
    <t xml:space="preserve">7612005375</t>
  </si>
  <si>
    <t xml:space="preserve">27548455</t>
  </si>
  <si>
    <t xml:space="preserve">ФГОУСП "Ярославский аграрно-политехнический колледж"</t>
  </si>
  <si>
    <t xml:space="preserve">7627003250</t>
  </si>
  <si>
    <t xml:space="preserve">26483236</t>
  </si>
  <si>
    <t xml:space="preserve">ФГУП "Экспериментальная биофабрика"</t>
  </si>
  <si>
    <t xml:space="preserve">7612002350</t>
  </si>
  <si>
    <t xml:space="preserve">14-06-2019 00:00:00</t>
  </si>
  <si>
    <t xml:space="preserve">27402286</t>
  </si>
  <si>
    <t xml:space="preserve">Филиал "Верхневолжский" ОАО "Славянка"</t>
  </si>
  <si>
    <t xml:space="preserve">7702707386</t>
  </si>
  <si>
    <t xml:space="preserve">370243001</t>
  </si>
  <si>
    <t xml:space="preserve">28-09-2015 00:00:00</t>
  </si>
  <si>
    <t xml:space="preserve">26468665</t>
  </si>
  <si>
    <t xml:space="preserve">Ярославский территориальный участок северной дирекции по тепловодоснабжению - структурного подразделения центральной дирекции по тепловодоснабжению -  филиала ОАО "РЖД"</t>
  </si>
  <si>
    <t xml:space="preserve">997650004</t>
  </si>
  <si>
    <t xml:space="preserve">13-04-2015 00:00:00</t>
  </si>
  <si>
    <t xml:space="preserve">26483300</t>
  </si>
  <si>
    <t xml:space="preserve">АО "Техническая бумага"</t>
  </si>
  <si>
    <t xml:space="preserve">7626001028</t>
  </si>
  <si>
    <t xml:space="preserve">26514837</t>
  </si>
  <si>
    <t xml:space="preserve">ГАУЗ ЯО "Детский санаторий "Искра"</t>
  </si>
  <si>
    <t xml:space="preserve">7616009645</t>
  </si>
  <si>
    <t xml:space="preserve">31235918</t>
  </si>
  <si>
    <t xml:space="preserve">ГБУЗ ЯО "Областная клиническая туберкулезная больница"</t>
  </si>
  <si>
    <t xml:space="preserve">7604039966</t>
  </si>
  <si>
    <t xml:space="preserve">16-06-1997 00:00:00</t>
  </si>
  <si>
    <t xml:space="preserve">31-03-2019 00:00:00</t>
  </si>
  <si>
    <t xml:space="preserve">31373384</t>
  </si>
  <si>
    <t xml:space="preserve">ГБУЗ ЯО "Ярославская областная клиническая туберкулезная больница"</t>
  </si>
  <si>
    <t xml:space="preserve">7604355190</t>
  </si>
  <si>
    <t xml:space="preserve">27573964</t>
  </si>
  <si>
    <t xml:space="preserve">01-01-2012 00:00:00</t>
  </si>
  <si>
    <t xml:space="preserve">26514831</t>
  </si>
  <si>
    <t xml:space="preserve">МУЗ "Санаторий "Ясные зори"</t>
  </si>
  <si>
    <t xml:space="preserve">7604042581</t>
  </si>
  <si>
    <t xml:space="preserve">29645989</t>
  </si>
  <si>
    <t xml:space="preserve">ОАО "Тутаевский моторный завод"</t>
  </si>
  <si>
    <t xml:space="preserve">7611000399</t>
  </si>
  <si>
    <t xml:space="preserve">01-11-2002 00:00:00</t>
  </si>
  <si>
    <t xml:space="preserve">30858603</t>
  </si>
  <si>
    <t xml:space="preserve">ООО "Водоканал-К"</t>
  </si>
  <si>
    <t xml:space="preserve">7612047576</t>
  </si>
  <si>
    <t xml:space="preserve">31665154</t>
  </si>
  <si>
    <t xml:space="preserve">ООО "Водоотведение"</t>
  </si>
  <si>
    <t xml:space="preserve">7610137697</t>
  </si>
  <si>
    <t xml:space="preserve">31232028</t>
  </si>
  <si>
    <t xml:space="preserve">ООО "Водосток"</t>
  </si>
  <si>
    <t xml:space="preserve">7611999082</t>
  </si>
  <si>
    <t xml:space="preserve">26483439</t>
  </si>
  <si>
    <t xml:space="preserve">ООО "Завод молекулярных сит "Реал Сорб"</t>
  </si>
  <si>
    <t xml:space="preserve">7620002642</t>
  </si>
  <si>
    <t xml:space="preserve">28424593</t>
  </si>
  <si>
    <t xml:space="preserve">ООО "Новоком плюс"</t>
  </si>
  <si>
    <t xml:space="preserve">7604242654</t>
  </si>
  <si>
    <t xml:space="preserve">29-07-2013 00:00:00</t>
  </si>
  <si>
    <t xml:space="preserve">26770670</t>
  </si>
  <si>
    <t xml:space="preserve">ООО "Новоком"</t>
  </si>
  <si>
    <t xml:space="preserve">7604181754</t>
  </si>
  <si>
    <t xml:space="preserve">06-11-2013 00:00:00</t>
  </si>
  <si>
    <t xml:space="preserve">27570610</t>
  </si>
  <si>
    <t xml:space="preserve">760845001</t>
  </si>
  <si>
    <t xml:space="preserve">31029634</t>
  </si>
  <si>
    <t xml:space="preserve">7627047508</t>
  </si>
  <si>
    <t xml:space="preserve">17-05-2016 00:00:00</t>
  </si>
  <si>
    <t xml:space="preserve">26483548</t>
  </si>
  <si>
    <t xml:space="preserve">ООО "Стоки"</t>
  </si>
  <si>
    <t xml:space="preserve">7621006174</t>
  </si>
  <si>
    <t xml:space="preserve">31711855</t>
  </si>
  <si>
    <t xml:space="preserve">ООО "Тепловая компания"</t>
  </si>
  <si>
    <t xml:space="preserve">7627058732</t>
  </si>
  <si>
    <t xml:space="preserve">07-08-2023 00:00:00</t>
  </si>
  <si>
    <t xml:space="preserve">28982501</t>
  </si>
  <si>
    <t xml:space="preserve">ООО "УК Перспектива"</t>
  </si>
  <si>
    <t xml:space="preserve">7602095330</t>
  </si>
  <si>
    <t xml:space="preserve">13-05-2021 00:00:00</t>
  </si>
  <si>
    <t xml:space="preserve">26483544</t>
  </si>
  <si>
    <t xml:space="preserve">ООО "Ярославская экологическая компания"</t>
  </si>
  <si>
    <t xml:space="preserve">7604060608</t>
  </si>
  <si>
    <t xml:space="preserve">26514827</t>
  </si>
  <si>
    <t xml:space="preserve">Производственный сельско-хозяйственный кооператив "Искра"</t>
  </si>
  <si>
    <t xml:space="preserve">7627002962</t>
  </si>
  <si>
    <t xml:space="preserve">26483624</t>
  </si>
  <si>
    <t xml:space="preserve">АО "Скоково"</t>
  </si>
  <si>
    <t xml:space="preserve">7627031071</t>
  </si>
  <si>
    <t xml:space="preserve">26483616</t>
  </si>
  <si>
    <t xml:space="preserve">АО "Чистый город"</t>
  </si>
  <si>
    <t xml:space="preserve">7604059176</t>
  </si>
  <si>
    <t xml:space="preserve">31064356</t>
  </si>
  <si>
    <t xml:space="preserve">ИП Посконнов И.В.</t>
  </si>
  <si>
    <t xml:space="preserve">760600384204</t>
  </si>
  <si>
    <t xml:space="preserve">27840709</t>
  </si>
  <si>
    <t xml:space="preserve">МУП "Полигон"</t>
  </si>
  <si>
    <t xml:space="preserve">7622015816</t>
  </si>
  <si>
    <t xml:space="preserve">762201001</t>
  </si>
  <si>
    <t xml:space="preserve">11-01-2011 00:00:00</t>
  </si>
  <si>
    <t xml:space="preserve">26-06-2023 00:00:00</t>
  </si>
  <si>
    <t xml:space="preserve">26483445</t>
  </si>
  <si>
    <t xml:space="preserve">МУП "Энергосервис"</t>
  </si>
  <si>
    <t xml:space="preserve">7620004657</t>
  </si>
  <si>
    <t xml:space="preserve">26768340</t>
  </si>
  <si>
    <t xml:space="preserve">МУП ГО г. Рыбинск "Автопредприятие по уборке города"</t>
  </si>
  <si>
    <t xml:space="preserve">7610001463</t>
  </si>
  <si>
    <t xml:space="preserve">27548432</t>
  </si>
  <si>
    <t xml:space="preserve">ОАО "Чистый город плюс"</t>
  </si>
  <si>
    <t xml:space="preserve">7609023737</t>
  </si>
  <si>
    <t xml:space="preserve">28875824</t>
  </si>
  <si>
    <t xml:space="preserve">ООО "Рубин"</t>
  </si>
  <si>
    <t xml:space="preserve">7610084212</t>
  </si>
  <si>
    <t xml:space="preserve">31197339</t>
  </si>
  <si>
    <t xml:space="preserve">ООО "Сить"</t>
  </si>
  <si>
    <t xml:space="preserve">7620006774</t>
  </si>
  <si>
    <t xml:space="preserve">21-09-2018 00:00:00</t>
  </si>
  <si>
    <t xml:space="preserve">31683001</t>
  </si>
  <si>
    <t xml:space="preserve">ООО "Скоково"</t>
  </si>
  <si>
    <t xml:space="preserve">7602111536</t>
  </si>
  <si>
    <t xml:space="preserve">27130299</t>
  </si>
  <si>
    <t xml:space="preserve">ООО "Спецавтохозяйство"</t>
  </si>
  <si>
    <t xml:space="preserve">7616007278</t>
  </si>
  <si>
    <t xml:space="preserve">26768555</t>
  </si>
  <si>
    <t xml:space="preserve">ООО "Теплоэлектросервис"</t>
  </si>
  <si>
    <t xml:space="preserve">7621005808</t>
  </si>
  <si>
    <t xml:space="preserve">26-12-2017 00:00:00</t>
  </si>
  <si>
    <t xml:space="preserve">16-11-2020 00:00:00</t>
  </si>
  <si>
    <t xml:space="preserve">31152291</t>
  </si>
  <si>
    <t xml:space="preserve">ООО "Хартия"</t>
  </si>
  <si>
    <t xml:space="preserve">7703770101</t>
  </si>
  <si>
    <t xml:space="preserve">771501001</t>
  </si>
  <si>
    <t xml:space="preserve">13-06-2012 00:00:00</t>
  </si>
  <si>
    <t xml:space="preserve">30854523</t>
  </si>
  <si>
    <t xml:space="preserve">ООО "Экологический оператор "МАКРАБ"</t>
  </si>
  <si>
    <t xml:space="preserve">7602129068</t>
  </si>
  <si>
    <t xml:space="preserve">28145827</t>
  </si>
  <si>
    <t xml:space="preserve">ООО "Экология-Сервис"</t>
  </si>
  <si>
    <t xml:space="preserve">7615011289</t>
  </si>
  <si>
    <t xml:space="preserve">05-03-2011 00:00:00</t>
  </si>
  <si>
    <t xml:space="preserve">28445156</t>
  </si>
  <si>
    <t xml:space="preserve">ООО "Экорегион"</t>
  </si>
  <si>
    <t xml:space="preserve">7611022096</t>
  </si>
  <si>
    <t xml:space="preserve">31041671</t>
  </si>
  <si>
    <t xml:space="preserve">ООО ПКФ "Торгвторма"</t>
  </si>
  <si>
    <t xml:space="preserve">7605006385</t>
  </si>
  <si>
    <t xml:space="preserve">01-01-2018 00:00:00</t>
  </si>
  <si>
    <t xml:space="preserve">NSRF</t>
  </si>
  <si>
    <t xml:space="preserve">MR_NAME</t>
  </si>
  <si>
    <t xml:space="preserve">OKTMO_MR_NAME</t>
  </si>
  <si>
    <t xml:space="preserve">MO_NAME</t>
  </si>
  <si>
    <t xml:space="preserve">OKTMO_NAME</t>
  </si>
  <si>
    <t xml:space="preserve">TYPE</t>
  </si>
  <si>
    <t xml:space="preserve">MR_ID</t>
  </si>
  <si>
    <t xml:space="preserve">Большесельский муниципальный район</t>
  </si>
  <si>
    <t xml:space="preserve">78603000</t>
  </si>
  <si>
    <t xml:space="preserve">Благовещенское сельское поселение</t>
  </si>
  <si>
    <t xml:space="preserve">78603411</t>
  </si>
  <si>
    <t xml:space="preserve">сельское поселение</t>
  </si>
  <si>
    <t xml:space="preserve">муниципальный район</t>
  </si>
  <si>
    <t xml:space="preserve">Большесельское сельское поселение</t>
  </si>
  <si>
    <t xml:space="preserve">78603422</t>
  </si>
  <si>
    <t xml:space="preserve">Вареговское сельское поселение</t>
  </si>
  <si>
    <t xml:space="preserve">78603427</t>
  </si>
  <si>
    <t xml:space="preserve">Борисоглебский муниципальный район</t>
  </si>
  <si>
    <t xml:space="preserve">78606000</t>
  </si>
  <si>
    <t xml:space="preserve">Андреевское сельское поселение</t>
  </si>
  <si>
    <t xml:space="preserve">78606422</t>
  </si>
  <si>
    <t xml:space="preserve">Борисоглебское сельское поселение</t>
  </si>
  <si>
    <t xml:space="preserve">78606407</t>
  </si>
  <si>
    <t xml:space="preserve">Вощажниковское сельское поселение</t>
  </si>
  <si>
    <t xml:space="preserve">78606410</t>
  </si>
  <si>
    <t xml:space="preserve">Высоковское сельское поселение</t>
  </si>
  <si>
    <t xml:space="preserve">78606415</t>
  </si>
  <si>
    <t xml:space="preserve">Инальцинское сельское поселение</t>
  </si>
  <si>
    <t xml:space="preserve">78606405</t>
  </si>
  <si>
    <t xml:space="preserve">Брейтовский муниципальный район</t>
  </si>
  <si>
    <t xml:space="preserve">78609000</t>
  </si>
  <si>
    <t xml:space="preserve">Брейтовское сельское поселение</t>
  </si>
  <si>
    <t xml:space="preserve">78609411</t>
  </si>
  <si>
    <t xml:space="preserve">Гореловское сельское поселение</t>
  </si>
  <si>
    <t xml:space="preserve">78609422</t>
  </si>
  <si>
    <t xml:space="preserve">Прозоровское сельское поселение</t>
  </si>
  <si>
    <t xml:space="preserve">78609433</t>
  </si>
  <si>
    <t xml:space="preserve">Гаврилов-Ямский муниципальный район</t>
  </si>
  <si>
    <t xml:space="preserve">78612000</t>
  </si>
  <si>
    <t xml:space="preserve">Великосельское сельское поселение</t>
  </si>
  <si>
    <t xml:space="preserve">78612405</t>
  </si>
  <si>
    <t xml:space="preserve">Городское поселение г. Гаврилов-Ям</t>
  </si>
  <si>
    <t xml:space="preserve">78612101</t>
  </si>
  <si>
    <t xml:space="preserve">городское поселение, в состав которого входит город</t>
  </si>
  <si>
    <t xml:space="preserve">Заячье-Холмское сельское поселение</t>
  </si>
  <si>
    <t xml:space="preserve">78612477</t>
  </si>
  <si>
    <t xml:space="preserve">Митинское сельское поселение</t>
  </si>
  <si>
    <t xml:space="preserve">78612450</t>
  </si>
  <si>
    <t xml:space="preserve">Шопшинское сельское поселение</t>
  </si>
  <si>
    <t xml:space="preserve">78612490</t>
  </si>
  <si>
    <t xml:space="preserve">Даниловский муниципальный район</t>
  </si>
  <si>
    <t xml:space="preserve">78615000</t>
  </si>
  <si>
    <t xml:space="preserve">Городское поселение г. Данилов</t>
  </si>
  <si>
    <t xml:space="preserve">78615101</t>
  </si>
  <si>
    <t xml:space="preserve">Даниловское сельское поселение</t>
  </si>
  <si>
    <t xml:space="preserve">78615435</t>
  </si>
  <si>
    <t xml:space="preserve">Дмитриевское сельское поселение</t>
  </si>
  <si>
    <t xml:space="preserve">78615420</t>
  </si>
  <si>
    <t xml:space="preserve">Середское сельское поселение</t>
  </si>
  <si>
    <t xml:space="preserve">78615470</t>
  </si>
  <si>
    <t xml:space="preserve">Любимский муниципальный район</t>
  </si>
  <si>
    <t xml:space="preserve">78618000</t>
  </si>
  <si>
    <t xml:space="preserve">Воскресенское сельское поселение</t>
  </si>
  <si>
    <t xml:space="preserve">78618405</t>
  </si>
  <si>
    <t xml:space="preserve">Городское поселение г. Любим</t>
  </si>
  <si>
    <t xml:space="preserve">78618101</t>
  </si>
  <si>
    <t xml:space="preserve">Ермаковское сельское поселение</t>
  </si>
  <si>
    <t xml:space="preserve">78618410</t>
  </si>
  <si>
    <t xml:space="preserve">Осецкое сельское поселение</t>
  </si>
  <si>
    <t xml:space="preserve">78618433</t>
  </si>
  <si>
    <t xml:space="preserve">Мышкинский муниципальный район</t>
  </si>
  <si>
    <t xml:space="preserve">78621000</t>
  </si>
  <si>
    <t xml:space="preserve">Городское поселение г. Мышкин</t>
  </si>
  <si>
    <t xml:space="preserve">78621101</t>
  </si>
  <si>
    <t xml:space="preserve">Охотинское сельское поселение</t>
  </si>
  <si>
    <t xml:space="preserve">78621430</t>
  </si>
  <si>
    <t xml:space="preserve">Приволжское сельское поселение</t>
  </si>
  <si>
    <t xml:space="preserve">78621415</t>
  </si>
  <si>
    <t xml:space="preserve">Некоузский муниципальный район</t>
  </si>
  <si>
    <t xml:space="preserve">78623000</t>
  </si>
  <si>
    <t xml:space="preserve">Веретейское сельское поселение</t>
  </si>
  <si>
    <t xml:space="preserve">78623404</t>
  </si>
  <si>
    <t xml:space="preserve">Волжское сельское поселение</t>
  </si>
  <si>
    <t xml:space="preserve">78623406</t>
  </si>
  <si>
    <t xml:space="preserve">Некоузское сельское поселение</t>
  </si>
  <si>
    <t xml:space="preserve">78623415</t>
  </si>
  <si>
    <t xml:space="preserve">Октябрьское сельское поселение</t>
  </si>
  <si>
    <t xml:space="preserve">78623427</t>
  </si>
  <si>
    <t xml:space="preserve">Некрасовский муниципальный район</t>
  </si>
  <si>
    <t xml:space="preserve">78626000</t>
  </si>
  <si>
    <t xml:space="preserve">Бурмакино сельское поселение</t>
  </si>
  <si>
    <t xml:space="preserve">78626409</t>
  </si>
  <si>
    <t xml:space="preserve">Красный Профинтерн сельское поселение</t>
  </si>
  <si>
    <t xml:space="preserve">78626444</t>
  </si>
  <si>
    <t xml:space="preserve">Некрасовское сельское поселение</t>
  </si>
  <si>
    <t xml:space="preserve">78626457</t>
  </si>
  <si>
    <t xml:space="preserve">Первомайский муниципальный район</t>
  </si>
  <si>
    <t xml:space="preserve">78629000</t>
  </si>
  <si>
    <t xml:space="preserve">Городское поселение п.Пречистое</t>
  </si>
  <si>
    <t xml:space="preserve">78629151</t>
  </si>
  <si>
    <t xml:space="preserve">городское поселение, в состав которого входит поселок</t>
  </si>
  <si>
    <t xml:space="preserve">Кукобойское сельское поселение</t>
  </si>
  <si>
    <t xml:space="preserve">78629435</t>
  </si>
  <si>
    <t xml:space="preserve">Пречистенское сельское поселение</t>
  </si>
  <si>
    <t xml:space="preserve">78629450</t>
  </si>
  <si>
    <t xml:space="preserve">Переславский муниципальный район</t>
  </si>
  <si>
    <t xml:space="preserve">78632000</t>
  </si>
  <si>
    <t xml:space="preserve">Нагорьевское сельское поселение</t>
  </si>
  <si>
    <t xml:space="preserve">78632452</t>
  </si>
  <si>
    <t xml:space="preserve">Пригородное сельское поселение</t>
  </si>
  <si>
    <t xml:space="preserve">78632455</t>
  </si>
  <si>
    <t xml:space="preserve">Рязанцевское сельское поселение</t>
  </si>
  <si>
    <t xml:space="preserve">78632468</t>
  </si>
  <si>
    <t xml:space="preserve">Пошехонский муниципальный район</t>
  </si>
  <si>
    <t xml:space="preserve">78634000</t>
  </si>
  <si>
    <t xml:space="preserve">Белосельское сельское поселение</t>
  </si>
  <si>
    <t xml:space="preserve">78634404</t>
  </si>
  <si>
    <t xml:space="preserve">Городское поселение Пошехонье</t>
  </si>
  <si>
    <t xml:space="preserve">78634101</t>
  </si>
  <si>
    <t xml:space="preserve">78634428</t>
  </si>
  <si>
    <t xml:space="preserve">Кременевское сельское поселение</t>
  </si>
  <si>
    <t xml:space="preserve">78634460</t>
  </si>
  <si>
    <t xml:space="preserve">78634436</t>
  </si>
  <si>
    <t xml:space="preserve">78637000</t>
  </si>
  <si>
    <t xml:space="preserve">Городское поселение г.Ростов</t>
  </si>
  <si>
    <t xml:space="preserve">78637101</t>
  </si>
  <si>
    <t xml:space="preserve">Ишня сельское поселение</t>
  </si>
  <si>
    <t xml:space="preserve">78637412</t>
  </si>
  <si>
    <t xml:space="preserve">Петровское сельское поселение</t>
  </si>
  <si>
    <t xml:space="preserve">78637441</t>
  </si>
  <si>
    <t xml:space="preserve">60</t>
  </si>
  <si>
    <t xml:space="preserve">Поречье-Рыбное сельское поселение</t>
  </si>
  <si>
    <t xml:space="preserve">78637442</t>
  </si>
  <si>
    <t xml:space="preserve">61</t>
  </si>
  <si>
    <t xml:space="preserve">62</t>
  </si>
  <si>
    <t xml:space="preserve">Рыбинский муниципальный район</t>
  </si>
  <si>
    <t xml:space="preserve">78640000</t>
  </si>
  <si>
    <t xml:space="preserve">Арефинское сельское поселение</t>
  </si>
  <si>
    <t xml:space="preserve">78640410</t>
  </si>
  <si>
    <t xml:space="preserve">64</t>
  </si>
  <si>
    <t xml:space="preserve">78640415</t>
  </si>
  <si>
    <t xml:space="preserve">65</t>
  </si>
  <si>
    <t xml:space="preserve">Глебовское сельское поселение</t>
  </si>
  <si>
    <t xml:space="preserve">78640443</t>
  </si>
  <si>
    <t xml:space="preserve">Городское поселение Песочное</t>
  </si>
  <si>
    <t xml:space="preserve">78640455</t>
  </si>
  <si>
    <t xml:space="preserve">67</t>
  </si>
  <si>
    <t xml:space="preserve">Каменниковское сельское поселение</t>
  </si>
  <si>
    <t xml:space="preserve">78640425</t>
  </si>
  <si>
    <t xml:space="preserve">Назаровское сельское поселение</t>
  </si>
  <si>
    <t xml:space="preserve">78640430</t>
  </si>
  <si>
    <t xml:space="preserve">69</t>
  </si>
  <si>
    <t xml:space="preserve">Огарковское сельское поселение</t>
  </si>
  <si>
    <t xml:space="preserve">78640440</t>
  </si>
  <si>
    <t xml:space="preserve">70</t>
  </si>
  <si>
    <t xml:space="preserve">78640420</t>
  </si>
  <si>
    <t xml:space="preserve">71</t>
  </si>
  <si>
    <t xml:space="preserve">Покровское сельское поселение</t>
  </si>
  <si>
    <t xml:space="preserve">78640435</t>
  </si>
  <si>
    <t xml:space="preserve">72</t>
  </si>
  <si>
    <t xml:space="preserve">73</t>
  </si>
  <si>
    <t xml:space="preserve">Судоверфское сельское поселение</t>
  </si>
  <si>
    <t xml:space="preserve">78640452</t>
  </si>
  <si>
    <t xml:space="preserve">74</t>
  </si>
  <si>
    <t xml:space="preserve">Тихменевское сельское поселение</t>
  </si>
  <si>
    <t xml:space="preserve">78640447</t>
  </si>
  <si>
    <t xml:space="preserve">75</t>
  </si>
  <si>
    <t xml:space="preserve">Тутаевский муниципальный район</t>
  </si>
  <si>
    <t xml:space="preserve">78643000</t>
  </si>
  <si>
    <t xml:space="preserve">Артемьевское сельское поселение</t>
  </si>
  <si>
    <t xml:space="preserve">78643405</t>
  </si>
  <si>
    <t xml:space="preserve">76</t>
  </si>
  <si>
    <t xml:space="preserve">Городское поселение г.Тутаев</t>
  </si>
  <si>
    <t xml:space="preserve">78643101</t>
  </si>
  <si>
    <t xml:space="preserve">77</t>
  </si>
  <si>
    <t xml:space="preserve">Константиновское сельское поселение</t>
  </si>
  <si>
    <t xml:space="preserve">78643420</t>
  </si>
  <si>
    <t xml:space="preserve">78</t>
  </si>
  <si>
    <t xml:space="preserve">Левобережное сельское поселение</t>
  </si>
  <si>
    <t xml:space="preserve">78643460</t>
  </si>
  <si>
    <t xml:space="preserve">79</t>
  </si>
  <si>
    <t xml:space="preserve">80</t>
  </si>
  <si>
    <t xml:space="preserve">Чебаковское сельское поселение</t>
  </si>
  <si>
    <t xml:space="preserve">78643450</t>
  </si>
  <si>
    <t xml:space="preserve">81</t>
  </si>
  <si>
    <t xml:space="preserve">78646000</t>
  </si>
  <si>
    <t xml:space="preserve">Головинское сельское поселение</t>
  </si>
  <si>
    <t xml:space="preserve">78646440</t>
  </si>
  <si>
    <t xml:space="preserve">82</t>
  </si>
  <si>
    <t xml:space="preserve">Ильинское сельское поселение</t>
  </si>
  <si>
    <t xml:space="preserve">78646420</t>
  </si>
  <si>
    <t xml:space="preserve">84</t>
  </si>
  <si>
    <t xml:space="preserve">Отрадновское сельское поселение</t>
  </si>
  <si>
    <t xml:space="preserve">78646475</t>
  </si>
  <si>
    <t xml:space="preserve">85</t>
  </si>
  <si>
    <t xml:space="preserve">Слободское сельское поселение</t>
  </si>
  <si>
    <t xml:space="preserve">78646410</t>
  </si>
  <si>
    <t xml:space="preserve">86</t>
  </si>
  <si>
    <t xml:space="preserve">87</t>
  </si>
  <si>
    <t xml:space="preserve">Улейминское сельское поселение</t>
  </si>
  <si>
    <t xml:space="preserve">78646480</t>
  </si>
  <si>
    <t xml:space="preserve">88</t>
  </si>
  <si>
    <t xml:space="preserve">Ярославский муниципальный район</t>
  </si>
  <si>
    <t xml:space="preserve">78650000</t>
  </si>
  <si>
    <t xml:space="preserve">Городское поселение п. Лесная Поляна</t>
  </si>
  <si>
    <t xml:space="preserve">78650155</t>
  </si>
  <si>
    <t xml:space="preserve">89</t>
  </si>
  <si>
    <t xml:space="preserve">Заволжское сельское поселение</t>
  </si>
  <si>
    <t xml:space="preserve">78650410</t>
  </si>
  <si>
    <t xml:space="preserve">90</t>
  </si>
  <si>
    <t xml:space="preserve">Ивняковское сельское поселение</t>
  </si>
  <si>
    <t xml:space="preserve">78650455</t>
  </si>
  <si>
    <t xml:space="preserve">91</t>
  </si>
  <si>
    <t xml:space="preserve">Карабихское сельское поселение</t>
  </si>
  <si>
    <t xml:space="preserve">78650430</t>
  </si>
  <si>
    <t xml:space="preserve">92</t>
  </si>
  <si>
    <t xml:space="preserve">Кузнечихинское сельское поселение</t>
  </si>
  <si>
    <t xml:space="preserve">78650435</t>
  </si>
  <si>
    <t xml:space="preserve">93</t>
  </si>
  <si>
    <t xml:space="preserve">Курбское сельское поселение</t>
  </si>
  <si>
    <t xml:space="preserve">78650440</t>
  </si>
  <si>
    <t xml:space="preserve">94</t>
  </si>
  <si>
    <t xml:space="preserve">78650470</t>
  </si>
  <si>
    <t xml:space="preserve">95</t>
  </si>
  <si>
    <t xml:space="preserve">Туношенское сельское поселение</t>
  </si>
  <si>
    <t xml:space="preserve">78650495</t>
  </si>
  <si>
    <t xml:space="preserve">96</t>
  </si>
  <si>
    <t xml:space="preserve">97</t>
  </si>
  <si>
    <t xml:space="preserve">город Переславль-Залесский</t>
  </si>
  <si>
    <t xml:space="preserve">78705000</t>
  </si>
  <si>
    <t xml:space="preserve">городской округ</t>
  </si>
  <si>
    <t xml:space="preserve">98</t>
  </si>
  <si>
    <t xml:space="preserve">город Рыбинск</t>
  </si>
  <si>
    <t xml:space="preserve">78715000</t>
  </si>
  <si>
    <t xml:space="preserve">99</t>
  </si>
  <si>
    <t xml:space="preserve">NUMBER_POINT</t>
  </si>
  <si>
    <t xml:space="preserve">INVP_NAME</t>
  </si>
  <si>
    <t xml:space="preserve">INVP_ID</t>
  </si>
  <si>
    <t xml:space="preserve">L_START_DATE</t>
  </si>
  <si>
    <t xml:space="preserve">L_END_DATE</t>
  </si>
  <si>
    <t xml:space="preserve">L_DECISION_NAME</t>
  </si>
  <si>
    <t xml:space="preserve">L_DECISION_TYPE</t>
  </si>
  <si>
    <t xml:space="preserve">L_DECISION_NMBR</t>
  </si>
  <si>
    <t xml:space="preserve">L_DECISION_DATE</t>
  </si>
  <si>
    <t xml:space="preserve">TER_NAME</t>
  </si>
  <si>
    <t xml:space="preserve">Территория 1</t>
  </si>
  <si>
    <t xml:space="preserve">Территория 2</t>
  </si>
  <si>
    <t xml:space="preserve">Территория 3</t>
  </si>
  <si>
    <t xml:space="preserve">ID_TARIFF_NAME</t>
  </si>
  <si>
    <t xml:space="preserve">TARIFF_NAME</t>
  </si>
  <si>
    <t xml:space="preserve">VED_NAME</t>
  </si>
  <si>
    <t xml:space="preserve">4189702</t>
  </si>
  <si>
    <t xml:space="preserve">4189703</t>
  </si>
  <si>
    <t xml:space="preserve">4189704</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</si>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</sst>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6">
    <numFmt numFmtId="164" formatCode="@"/>
    <numFmt numFmtId="165" formatCode="General"/>
    <numFmt numFmtId="166" formatCode="_-* #,##0.00[$€-1]_-;\-* #,##0.00[$€-1]_-;_-* \-??[$€-1]_-"/>
    <numFmt numFmtId="167" formatCode="#,##0_р_.;[RED]\-#,##0_р_."/>
    <numFmt numFmtId="168" formatCode="#,##0.0"/>
    <numFmt numFmtId="169" formatCode="#,##0.000"/>
    <numFmt numFmtId="170" formatCode="#,##0.0000"/>
    <numFmt numFmtId="171" formatCode="#,##0.00"/>
    <numFmt numFmtId="172" formatCode="General"/>
    <numFmt numFmtId="173" formatCode="dd/mm/yyyy"/>
    <numFmt numFmtId="174" formatCode="dd\.mm\.yyyy"/>
    <numFmt numFmtId="175" formatCode="000000"/>
    <numFmt numFmtId="176" formatCode="#,##0"/>
    <numFmt numFmtId="177" formatCode="0%"/>
    <numFmt numFmtId="178" formatCode="0.00"/>
    <numFmt numFmtId="179" formatCode="h:mm;@"/>
  </numFmts>
  <fonts count="105">
    <font>
      <sz val="9"/>
      <color rgb="FF000000"/>
      <name val="Tahoma"/>
      <family val="0"/>
      <charset val="1"/>
    </font>
    <font>
      <sz val="10"/>
      <name val="Arial"/>
      <family val="0"/>
    </font>
    <font>
      <sz val="10"/>
      <name val="Arial"/>
      <family val="0"/>
    </font>
    <font>
      <sz val="10"/>
      <name val="Arial"/>
      <family val="0"/>
    </font>
    <font>
      <sz val="10"/>
      <name val="Arial"/>
      <family val="0"/>
      <charset val="1"/>
    </font>
    <font>
      <sz val="8"/>
      <name val="Arial"/>
      <family val="0"/>
      <charset val="1"/>
    </font>
    <font>
      <sz val="10"/>
      <name val="Tahoma"/>
      <family val="0"/>
      <charset val="1"/>
    </font>
    <font>
      <sz val="9"/>
      <name val="Tahoma"/>
      <family val="0"/>
      <charset val="1"/>
    </font>
    <font>
      <sz val="8"/>
      <name val="Palatino"/>
      <family val="0"/>
      <charset val="1"/>
    </font>
    <font>
      <u val="single"/>
      <sz val="10"/>
      <color rgb="FF800080"/>
      <name val="Arial Cyr"/>
      <family val="0"/>
      <charset val="1"/>
    </font>
    <font>
      <sz val="12"/>
      <name val="Arial"/>
      <family val="0"/>
      <charset val="1"/>
    </font>
    <font>
      <sz val="11"/>
      <name val="Tahoma"/>
      <family val="0"/>
      <charset val="1"/>
    </font>
    <font>
      <sz val="11"/>
      <color rgb="FF333399"/>
      <name val="Calibri"/>
      <family val="0"/>
      <charset val="1"/>
    </font>
    <font>
      <b val="true"/>
      <u val="single"/>
      <sz val="11"/>
      <color rgb="FF0000FF"/>
      <name val="Arial"/>
      <family val="0"/>
      <charset val="1"/>
    </font>
    <font>
      <u val="single"/>
      <sz val="9"/>
      <color rgb="FF0000FF"/>
      <name val="Tahoma"/>
      <family val="0"/>
      <charset val="1"/>
    </font>
    <font>
      <u val="single"/>
      <sz val="9"/>
      <color rgb="FF000080"/>
      <name val="Tahoma"/>
      <family val="0"/>
      <charset val="1"/>
    </font>
    <font>
      <b val="true"/>
      <u val="single"/>
      <sz val="9"/>
      <color rgb="FF0000FF"/>
      <name val="Tahoma"/>
      <family val="0"/>
      <charset val="1"/>
    </font>
    <font>
      <u val="single"/>
      <sz val="9"/>
      <color rgb="FF333399"/>
      <name val="Tahoma"/>
      <family val="0"/>
      <charset val="1"/>
    </font>
    <font>
      <b val="true"/>
      <sz val="9"/>
      <name val="Tahoma"/>
      <family val="0"/>
      <charset val="1"/>
    </font>
    <font>
      <sz val="11"/>
      <color rgb="FF000000"/>
      <name val="Calibri"/>
      <family val="0"/>
      <charset val="1"/>
    </font>
    <font>
      <sz val="10"/>
      <name val="Arial Cyr"/>
      <family val="0"/>
      <charset val="1"/>
    </font>
    <font>
      <sz val="9"/>
      <color rgb="FF00FF00"/>
      <name val="Tahoma"/>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1"/>
      <color rgb="FFFFFFFF"/>
      <name val="Tahoma"/>
      <family val="0"/>
      <charset val="1"/>
    </font>
    <font>
      <sz val="3"/>
      <color rgb="FFFFFFFF"/>
      <name val="Tahoma"/>
      <family val="0"/>
      <charset val="1"/>
    </font>
    <font>
      <sz val="3"/>
      <color rgb="FFCC0000"/>
      <name val="Tahoma"/>
      <family val="0"/>
      <charset val="1"/>
    </font>
    <font>
      <sz val="3"/>
      <name val="Tahoma"/>
      <family val="0"/>
      <charset val="1"/>
    </font>
    <font>
      <sz val="16"/>
      <name val="Tahoma"/>
      <family val="0"/>
      <charset val="1"/>
    </font>
    <font>
      <b val="true"/>
      <sz val="9"/>
      <color rgb="FFFFFFFF"/>
      <name val="Tahoma"/>
      <family val="0"/>
      <charset val="1"/>
    </font>
    <font>
      <sz val="3"/>
      <color rgb="FF993300"/>
      <name val="Tahoma"/>
      <family val="0"/>
      <charset val="1"/>
    </font>
    <font>
      <sz val="7"/>
      <color rgb="FF808080"/>
      <name val="Tahoma"/>
      <family val="0"/>
      <charset val="1"/>
    </font>
    <font>
      <sz val="16"/>
      <color rgb="FFFFFFFF"/>
      <name val="Tahoma"/>
      <family val="0"/>
      <charset val="1"/>
    </font>
    <font>
      <sz val="3"/>
      <color rgb="FF00000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1"/>
      <color rgb="FFBCBCBC"/>
      <name val="Wingdings 2"/>
      <family val="0"/>
      <charset val="1"/>
    </font>
    <font>
      <sz val="5"/>
      <color rgb="FFFF0000"/>
      <name val="Tahoma"/>
      <family val="0"/>
      <charset val="1"/>
    </font>
    <font>
      <sz val="1"/>
      <name val="Tahoma"/>
      <family val="0"/>
      <charset val="1"/>
    </font>
    <font>
      <sz val="11"/>
      <color rgb="FFFFFFFF"/>
      <name val="Wingdings 2"/>
      <family val="0"/>
      <charset val="1"/>
    </font>
    <font>
      <sz val="5"/>
      <color rgb="FFFFFFFF"/>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rgb="FFFFFFFF"/>
      <name val="Tahoma"/>
      <family val="0"/>
      <charset val="1"/>
    </font>
    <font>
      <sz val="9"/>
      <color rgb="FF000080"/>
      <name val="Tahoma"/>
      <family val="0"/>
      <charset val="1"/>
    </font>
    <font>
      <sz val="8"/>
      <name val="Tahoma"/>
      <family val="0"/>
      <charset val="1"/>
    </font>
    <font>
      <sz val="8"/>
      <color rgb="FFFFFFFF"/>
      <name val="Tahoma"/>
      <family val="0"/>
      <charset val="1"/>
    </font>
    <font>
      <sz val="8"/>
      <color rgb="FFBCBCBC"/>
      <name val="Tahoma"/>
      <family val="0"/>
      <charset val="1"/>
    </font>
    <font>
      <b val="true"/>
      <sz val="11"/>
      <color rgb="FFFFFFFF"/>
      <name val="Calibri"/>
      <family val="0"/>
      <charset val="1"/>
    </font>
    <font>
      <b val="true"/>
      <sz val="1"/>
      <color rgb="FFFFFFFF"/>
      <name val="Calibri"/>
      <family val="0"/>
      <charset val="1"/>
    </font>
    <font>
      <b val="true"/>
      <sz val="9"/>
      <name val="Calibri"/>
      <family val="0"/>
      <charset val="1"/>
    </font>
    <font>
      <b val="true"/>
      <sz val="11"/>
      <color rgb="FF000000"/>
      <name val="Calibri"/>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sz val="3"/>
      <color rgb="FFBCBCBC"/>
      <name val="Tahoma"/>
      <family val="0"/>
      <charset val="1"/>
    </font>
    <font>
      <sz val="1"/>
      <color rgb="FFBCBCBC"/>
      <name val="Tahoma"/>
      <family val="0"/>
      <charset val="1"/>
    </font>
    <font>
      <sz val="11"/>
      <name val="Webdings2"/>
      <family val="0"/>
      <charset val="1"/>
    </font>
    <font>
      <sz val="1"/>
      <color rgb="FFFFFFFF"/>
      <name val="Webdings2"/>
      <family val="0"/>
      <charset val="1"/>
    </font>
    <font>
      <b val="true"/>
      <sz val="1"/>
      <color rgb="FFFFFFFF"/>
      <name val="Tahoma"/>
      <family val="0"/>
      <charset val="1"/>
    </font>
    <font>
      <sz val="11"/>
      <color rgb="FFFFFFFF"/>
      <name val="Webdings2"/>
      <family val="0"/>
      <charset val="1"/>
    </font>
    <font>
      <sz val="15"/>
      <color rgb="FF000000"/>
      <name val="Tahoma"/>
      <family val="0"/>
      <charset val="1"/>
    </font>
    <font>
      <sz val="1"/>
      <name val="Webdings2"/>
      <family val="0"/>
      <charset val="1"/>
    </font>
    <font>
      <sz val="1"/>
      <color rgb="FFFFFFFF"/>
      <name val="Wingdings 2"/>
      <family val="0"/>
      <charset val="1"/>
    </font>
    <font>
      <sz val="9"/>
      <color rgb="FFFFFFFF"/>
      <name val="Webdings2"/>
      <family val="0"/>
      <charset val="1"/>
    </font>
    <font>
      <sz val="15"/>
      <color rgb="FFFFFFFF"/>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9"/>
      <color rgb="FFFFFFFF"/>
      <name val="Tahoma"/>
      <family val="0"/>
      <charset val="1"/>
    </font>
    <font>
      <vertAlign val="superscript"/>
      <sz val="9"/>
      <name val="Tahoma"/>
      <family val="2"/>
      <charset val="204"/>
    </font>
    <font>
      <b val="true"/>
      <u val="single"/>
      <sz val="9"/>
      <color rgb="FF000080"/>
      <name val="Tahoma"/>
      <family val="0"/>
      <charset val="1"/>
    </font>
    <font>
      <u val="single"/>
      <sz val="1"/>
      <color rgb="FF333399"/>
      <name val="Tahoma"/>
      <family val="0"/>
      <charset val="1"/>
    </font>
    <font>
      <sz val="14"/>
      <color rgb="FFBCBCBC"/>
      <name val="Calibri"/>
      <family val="0"/>
      <charset val="1"/>
    </font>
    <font>
      <sz val="10"/>
      <color rgb="FF000000"/>
      <name val="Arial"/>
      <family val="0"/>
      <charset val="1"/>
    </font>
    <font>
      <sz val="18"/>
      <color rgb="FFFFFFFF"/>
      <name val="Tahoma"/>
      <family val="0"/>
      <charset val="1"/>
    </font>
    <font>
      <sz val="9"/>
      <color rgb="FF333399"/>
      <name val="Tahoma"/>
      <family val="0"/>
      <charset val="1"/>
    </font>
    <font>
      <b val="true"/>
      <sz val="9"/>
      <color rgb="FF000000"/>
      <name val="Tahoma"/>
      <family val="0"/>
      <charset val="1"/>
    </font>
    <font>
      <sz val="8"/>
      <color rgb="FF000080"/>
      <name val="Tahoma"/>
      <family val="0"/>
      <charset val="1"/>
    </font>
    <font>
      <b val="true"/>
      <sz val="8"/>
      <color rgb="FFC0C0C0"/>
      <name val="Wingdings 2"/>
      <family val="0"/>
      <charset val="1"/>
    </font>
    <font>
      <sz val="7"/>
      <color rgb="FF000000"/>
      <name val="Tahoma"/>
      <family val="0"/>
      <charset val="1"/>
    </font>
    <font>
      <sz val="1"/>
      <color rgb="FF000080"/>
      <name val="Tahoma"/>
      <family val="0"/>
      <charset val="1"/>
    </font>
    <font>
      <b val="true"/>
      <u val="single"/>
      <sz val="9"/>
      <name val="Tahoma"/>
      <family val="0"/>
      <charset val="1"/>
    </font>
  </fonts>
  <fills count="31">
    <fill>
      <patternFill patternType="none"/>
    </fill>
    <fill>
      <patternFill patternType="gray125"/>
    </fill>
    <fill>
      <patternFill patternType="solid">
        <fgColor rgb="FFFFFF99"/>
        <bgColor rgb="FFFFFFC0"/>
      </patternFill>
    </fill>
    <fill>
      <patternFill patternType="solid">
        <fgColor rgb="FFC0C0C0"/>
        <bgColor rgb="FFBFBFBF"/>
      </patternFill>
    </fill>
    <fill>
      <patternFill patternType="solid">
        <fgColor rgb="FF969696"/>
        <bgColor rgb="FF999999"/>
      </patternFill>
    </fill>
    <fill>
      <patternFill patternType="solid">
        <fgColor rgb="FFFFCC99"/>
        <bgColor rgb="FFFFB7B7"/>
      </patternFill>
    </fill>
    <fill>
      <patternFill patternType="solid">
        <fgColor rgb="FF00FF00"/>
        <bgColor rgb="FF008000"/>
      </patternFill>
    </fill>
    <fill>
      <patternFill patternType="solid">
        <fgColor rgb="FFFFFFFF"/>
        <bgColor rgb="FFEDF9FF"/>
      </patternFill>
    </fill>
    <fill>
      <patternFill patternType="solid">
        <fgColor rgb="FFBCBCBC"/>
        <bgColor rgb="FFBFBFBF"/>
      </patternFill>
    </fill>
    <fill>
      <patternFill patternType="solid">
        <fgColor rgb="FFD9D9D9"/>
        <bgColor rgb="FFD3DBDB"/>
      </patternFill>
    </fill>
    <fill>
      <patternFill patternType="solid">
        <fgColor rgb="FFFFFFC0"/>
        <bgColor rgb="FFFFFF99"/>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B7E4FF"/>
        <bgColor rgb="FFD3DBDB"/>
      </patternFill>
    </fill>
    <fill>
      <patternFill patternType="solid">
        <fgColor rgb="FFF0F0F0"/>
        <bgColor rgb="FFEAEBEE"/>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FFFF00"/>
        <bgColor rgb="FFFFFF99"/>
      </patternFill>
    </fill>
    <fill>
      <patternFill patternType="solid">
        <fgColor rgb="FFCCCCFF"/>
        <bgColor rgb="FFD3DBDB"/>
      </patternFill>
    </fill>
    <fill>
      <patternFill patternType="solid">
        <fgColor rgb="FFFFB7B7"/>
        <bgColor rgb="FFFFCC99"/>
      </patternFill>
    </fill>
    <fill>
      <patternFill patternType="solid">
        <fgColor rgb="FFEDF9FF"/>
        <bgColor rgb="FFE3FAFD"/>
      </patternFill>
    </fill>
    <fill>
      <patternFill patternType="solid">
        <fgColor rgb="FF8DB4E2"/>
        <bgColor rgb="FF8EB4E3"/>
      </patternFill>
    </fill>
    <fill>
      <patternFill patternType="solid">
        <fgColor rgb="FFDDD9C3"/>
        <bgColor rgb="FFD9D9D9"/>
      </patternFill>
    </fill>
    <fill>
      <patternFill patternType="solid">
        <fgColor rgb="FFF2DCDB"/>
        <bgColor rgb="FFE6E0EC"/>
      </patternFill>
    </fill>
    <fill>
      <patternFill patternType="solid">
        <fgColor rgb="FFE46C0A"/>
        <bgColor rgb="FFE26B0A"/>
      </patternFill>
    </fill>
    <fill>
      <patternFill patternType="solid">
        <fgColor rgb="FFC3D69B"/>
        <bgColor rgb="FFDDD9C3"/>
      </patternFill>
    </fill>
    <fill>
      <patternFill patternType="solid">
        <fgColor rgb="FFE6E0EC"/>
        <bgColor rgb="FFEAEBEE"/>
      </patternFill>
    </fill>
  </fills>
  <borders count="63">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ck">
        <color rgb="FF808080"/>
      </left>
      <right style="thick">
        <color rgb="FF808080"/>
      </right>
      <top style="thick">
        <color rgb="FF808080"/>
      </top>
      <bottom style="thick">
        <color rgb="FF808080"/>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rgb="FFBFBFBF"/>
      </left>
      <right style="thin">
        <color rgb="FFC0C0C0"/>
      </right>
      <top style="thin">
        <color rgb="FFC0C0C0"/>
      </top>
      <bottom style="thin">
        <color rgb="FFC0C0C0"/>
      </bottom>
      <diagonal/>
    </border>
    <border diagonalUp="false" diagonalDown="false">
      <left style="thin">
        <color rgb="FFBFBFBF"/>
      </left>
      <right/>
      <top style="thin">
        <color rgb="FFC0C0C0"/>
      </top>
      <bottom style="thin">
        <color rgb="FFC0C0C0"/>
      </bottom>
      <diagonal/>
    </border>
    <border diagonalUp="false" diagonalDown="false">
      <left style="thin">
        <color rgb="FFBFBFBF"/>
      </left>
      <right/>
      <top style="thin">
        <color rgb="FFC0C0C0"/>
      </top>
      <bottom/>
      <diagonal/>
    </border>
    <border diagonalUp="false" diagonalDown="false">
      <left style="thin">
        <color rgb="FFBFBFBF"/>
      </left>
      <right style="thin">
        <color rgb="FFC0C0C0"/>
      </right>
      <top style="thin">
        <color rgb="FFC0C0C0"/>
      </top>
      <bottom/>
      <diagonal/>
    </border>
    <border diagonalUp="false" diagonalDown="false">
      <left style="thin">
        <color rgb="FFBFBFBF"/>
      </left>
      <right style="thin">
        <color rgb="FFBFBFBF"/>
      </right>
      <top/>
      <bottom style="thin">
        <color rgb="FFBFBFBF"/>
      </bottom>
      <diagonal/>
    </border>
    <border diagonalUp="false" diagonalDown="false">
      <left style="thin">
        <color rgb="FFBFBFBF"/>
      </left>
      <right style="thin">
        <color rgb="FFBFBFBF"/>
      </right>
      <top/>
      <bottom/>
      <diagonal/>
    </border>
    <border diagonalUp="false" diagonalDown="false">
      <left style="thin">
        <color rgb="FFBFBFBF"/>
      </left>
      <right style="thin">
        <color rgb="FFBFBFBF"/>
      </right>
      <top style="thin">
        <color rgb="FFBFBFBF"/>
      </top>
      <bottom style="thin">
        <color rgb="FFBFBFBF"/>
      </bottom>
      <diagonal/>
    </border>
    <border diagonalUp="false" diagonalDown="false">
      <left style="thin">
        <color rgb="FFBFBFBF"/>
      </left>
      <right/>
      <top style="thin">
        <color rgb="FFBFBFBF"/>
      </top>
      <bottom style="thin">
        <color rgb="FFBFBFBF"/>
      </bottom>
      <diagonal/>
    </border>
    <border diagonalUp="false" diagonalDown="false">
      <left style="thin">
        <color rgb="FFBFBFBF"/>
      </left>
      <right style="thin">
        <color rgb="FFBFBFBF"/>
      </right>
      <top style="thin">
        <color rgb="FFBFBFBF"/>
      </top>
      <bottom/>
      <diagonal/>
    </border>
    <border diagonalUp="false" diagonalDown="false">
      <left style="thin">
        <color rgb="FFBFBFBF"/>
      </left>
      <right/>
      <top/>
      <bottom style="thin">
        <color rgb="FFBFBFBF"/>
      </bottom>
      <diagonal/>
    </border>
    <border diagonalUp="false" diagonalDown="false">
      <left style="thin">
        <color rgb="FFBCBCBC"/>
      </left>
      <right/>
      <top style="thin">
        <color rgb="FFBCBCBC"/>
      </top>
      <bottom style="thin">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rgb="FFA6A6A6"/>
      </left>
      <right style="thin">
        <color rgb="FFA6A6A6"/>
      </right>
      <top style="thin">
        <color rgb="FFA6A6A6"/>
      </top>
      <bottom style="thin">
        <color rgb="FFA6A6A6"/>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right style="thin">
        <color rgb="FFBFBFBF"/>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right style="thin">
        <color rgb="FFBFBFBF"/>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dotted"/>
      <bottom style="dotted"/>
      <diagonal/>
    </border>
  </borders>
  <cellStyleXfs count="82">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true">
      <alignment horizontal="general" vertical="bottom" textRotation="0" wrapText="false" indent="0" shrinkToFit="false"/>
      <protection locked="true" hidden="false"/>
    </xf>
    <xf numFmtId="166" fontId="4" fillId="0" borderId="0" applyFont="true" applyBorder="false" applyAlignment="true" applyProtection="true">
      <alignment horizontal="general" vertical="bottom"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5" fontId="6" fillId="0" borderId="1" applyFont="true" applyBorder="true" applyAlignment="true" applyProtection="true">
      <alignment horizontal="general" vertical="top" textRotation="0" wrapText="false" indent="0" shrinkToFit="false"/>
      <protection locked="false" hidden="false"/>
    </xf>
    <xf numFmtId="168" fontId="7" fillId="2" borderId="0" applyFont="true" applyBorder="false" applyAlignment="true" applyProtection="true">
      <alignment horizontal="general" vertical="bottom" textRotation="0" wrapText="false" indent="0" shrinkToFit="false"/>
      <protection locked="false" hidden="false"/>
    </xf>
    <xf numFmtId="165" fontId="8" fillId="0" borderId="0" applyFont="true" applyBorder="false" applyAlignment="true" applyProtection="true">
      <alignment horizontal="general" vertical="center" textRotation="0" wrapText="false" indent="0" shrinkToFit="false"/>
      <protection locked="true" hidden="false"/>
    </xf>
    <xf numFmtId="169" fontId="7" fillId="2" borderId="0" applyFont="true" applyBorder="false" applyAlignment="true" applyProtection="true">
      <alignment horizontal="general" vertical="bottom" textRotation="0" wrapText="false" indent="0" shrinkToFit="false"/>
      <protection locked="false" hidden="false"/>
    </xf>
    <xf numFmtId="170" fontId="7" fillId="2" borderId="0" applyFont="true" applyBorder="false" applyAlignment="true" applyProtection="true">
      <alignment horizontal="general" vertical="bottom" textRotation="0" wrapText="false" indent="0" shrinkToFit="false"/>
      <protection locked="false" hidden="false"/>
    </xf>
    <xf numFmtId="165" fontId="9" fillId="0" borderId="0" applyFont="true" applyBorder="false" applyAlignment="true" applyProtection="true">
      <alignment horizontal="general" vertical="top" textRotation="0" wrapText="false" indent="0" shrinkToFit="false"/>
      <protection locked="true" hidden="false"/>
    </xf>
    <xf numFmtId="165" fontId="6" fillId="3" borderId="1" applyFont="true" applyBorder="true" applyAlignment="true" applyProtection="true">
      <alignment horizontal="general" vertical="top" textRotation="0" wrapText="false" indent="0" shrinkToFit="false"/>
      <protection locked="true" hidden="false"/>
    </xf>
    <xf numFmtId="165" fontId="10" fillId="0" borderId="0" applyFont="true" applyBorder="false" applyAlignment="true" applyProtection="true">
      <alignment horizontal="general" vertical="top" textRotation="0" wrapText="false" indent="0" shrinkToFit="false"/>
      <protection locked="true" hidden="false"/>
    </xf>
    <xf numFmtId="165" fontId="5" fillId="0" borderId="0" applyFont="true" applyBorder="false" applyAlignment="true" applyProtection="true">
      <alignment horizontal="general" vertical="bottom" textRotation="0" wrapText="false" indent="0" shrinkToFit="false"/>
      <protection locked="true" hidden="false"/>
    </xf>
    <xf numFmtId="165" fontId="8" fillId="0" borderId="0" applyFont="true" applyBorder="false" applyAlignment="true" applyProtection="true">
      <alignment horizontal="general" vertical="center" textRotation="0" wrapText="false" indent="0" shrinkToFit="false"/>
      <protection locked="true" hidden="false"/>
    </xf>
    <xf numFmtId="165" fontId="8" fillId="0" borderId="0" applyFont="true" applyBorder="false" applyAlignment="true" applyProtection="true">
      <alignment horizontal="general" vertical="center" textRotation="0" wrapText="false" indent="0" shrinkToFit="false"/>
      <protection locked="true" hidden="false"/>
    </xf>
    <xf numFmtId="165" fontId="11" fillId="4" borderId="2" applyFont="true" applyBorder="true" applyAlignment="true" applyProtection="true">
      <alignment horizontal="center" vertical="center" textRotation="0" wrapText="false" indent="0" shrinkToFit="false"/>
      <protection locked="true" hidden="false"/>
    </xf>
    <xf numFmtId="165" fontId="12" fillId="5" borderId="1" applyFont="true" applyBorder="true" applyAlignment="true" applyProtection="true">
      <alignment horizontal="general" vertical="top" textRotation="0" wrapText="false" indent="0" shrinkToFit="false"/>
      <protection locked="true" hidden="false"/>
    </xf>
    <xf numFmtId="165" fontId="13" fillId="0" borderId="0" applyFont="true" applyBorder="false" applyAlignment="true" applyProtection="true">
      <alignment horizontal="general" vertical="top" textRotation="0" wrapText="false" indent="0" shrinkToFit="false"/>
      <protection locked="true" hidden="false"/>
    </xf>
    <xf numFmtId="165" fontId="14" fillId="0" borderId="0" applyFont="true" applyBorder="false" applyAlignment="true" applyProtection="true">
      <alignment horizontal="general" vertical="top" textRotation="0" wrapText="false" indent="0" shrinkToFit="false"/>
      <protection locked="true" hidden="false"/>
    </xf>
    <xf numFmtId="165" fontId="15" fillId="0" borderId="0" applyFont="true" applyBorder="false" applyAlignment="true" applyProtection="true">
      <alignment horizontal="general" vertical="top" textRotation="0" wrapText="false" indent="0" shrinkToFit="false"/>
      <protection locked="true" hidden="false"/>
    </xf>
    <xf numFmtId="165" fontId="16" fillId="0" borderId="0" applyFont="true" applyBorder="false" applyAlignment="true" applyProtection="true">
      <alignment horizontal="general" vertical="top" textRotation="0" wrapText="false" indent="0" shrinkToFit="false"/>
      <protection locked="true" hidden="false"/>
    </xf>
    <xf numFmtId="165" fontId="17" fillId="0" borderId="0" applyFont="true" applyBorder="false" applyAlignment="true" applyProtection="true">
      <alignment horizontal="general" vertical="top" textRotation="0" wrapText="false" indent="0" shrinkToFit="false"/>
      <protection locked="true" hidden="false"/>
    </xf>
    <xf numFmtId="165" fontId="18" fillId="0" borderId="0" applyFont="true" applyBorder="false" applyAlignment="true" applyProtection="true">
      <alignment horizontal="center" vertical="center" textRotation="0" wrapText="true" indent="0" shrinkToFit="false"/>
      <protection locked="true" hidden="false"/>
    </xf>
    <xf numFmtId="171" fontId="7" fillId="2" borderId="0" applyFont="true" applyBorder="false" applyAlignment="true" applyProtection="true">
      <alignment horizontal="right" vertical="bottom" textRotation="0" wrapText="false" indent="0" shrinkToFit="false"/>
      <protection locked="true" hidden="false"/>
    </xf>
    <xf numFmtId="164" fontId="7" fillId="0" borderId="0" applyFont="true" applyBorder="false" applyAlignment="true" applyProtection="true">
      <alignment horizontal="general" vertical="top" textRotation="0" wrapText="false" indent="0" shrinkToFit="false"/>
      <protection locked="true" hidden="false"/>
    </xf>
    <xf numFmtId="165" fontId="19" fillId="0" borderId="0" applyFont="true" applyBorder="false" applyAlignment="true" applyProtection="true">
      <alignment horizontal="general" vertical="bottom" textRotation="0" wrapText="false" indent="0" shrinkToFit="false"/>
      <protection locked="true" hidden="false"/>
    </xf>
    <xf numFmtId="165" fontId="19" fillId="0" borderId="0" applyFont="true" applyBorder="false" applyAlignment="true" applyProtection="true">
      <alignment horizontal="general" vertical="bottom" textRotation="0" wrapText="false" indent="0" shrinkToFit="false"/>
      <protection locked="true" hidden="false"/>
    </xf>
    <xf numFmtId="165" fontId="19" fillId="0" borderId="0" applyFont="true" applyBorder="false" applyAlignment="true" applyProtection="true">
      <alignment horizontal="general" vertical="bottom" textRotation="0" wrapText="false" indent="0" shrinkToFit="false"/>
      <protection locked="true" hidden="false"/>
    </xf>
    <xf numFmtId="165" fontId="19" fillId="0" borderId="0" applyFont="true" applyBorder="false" applyAlignment="true" applyProtection="true">
      <alignment horizontal="general" vertical="bottom" textRotation="0" wrapText="false" indent="0" shrinkToFit="false"/>
      <protection locked="true" hidden="false"/>
    </xf>
    <xf numFmtId="165" fontId="19" fillId="0" borderId="0" applyFont="true" applyBorder="false" applyAlignment="true" applyProtection="true">
      <alignment horizontal="general" vertical="bottom" textRotation="0" wrapText="false" indent="0" shrinkToFit="false"/>
      <protection locked="true" hidden="false"/>
    </xf>
    <xf numFmtId="165" fontId="19" fillId="0" borderId="0" applyFont="true" applyBorder="false" applyAlignment="true" applyProtection="true">
      <alignment horizontal="general" vertical="bottom" textRotation="0" wrapText="false" indent="0" shrinkToFit="false"/>
      <protection locked="true" hidden="false"/>
    </xf>
    <xf numFmtId="165" fontId="19"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true">
      <alignment horizontal="general" vertical="top" textRotation="0" wrapText="false" indent="0" shrinkToFit="false"/>
      <protection locked="true" hidden="false"/>
    </xf>
    <xf numFmtId="165" fontId="20" fillId="0" borderId="0" applyFont="true" applyBorder="false" applyAlignment="true" applyProtection="true">
      <alignment horizontal="general" vertical="bottom" textRotation="0" wrapText="false" indent="0" shrinkToFit="false"/>
      <protection locked="true" hidden="false"/>
    </xf>
    <xf numFmtId="165" fontId="21" fillId="6" borderId="0" applyFont="true" applyBorder="false" applyAlignment="true" applyProtection="true">
      <alignment horizontal="general" vertical="top" textRotation="0" wrapText="false" indent="0" shrinkToFit="false"/>
      <protection locked="true" hidden="false"/>
    </xf>
    <xf numFmtId="165" fontId="19" fillId="0" borderId="0" applyFont="true" applyBorder="false" applyAlignment="true" applyProtection="true">
      <alignment horizontal="general" vertical="bottom" textRotation="0" wrapText="false" indent="0" shrinkToFit="false"/>
      <protection locked="true" hidden="false"/>
    </xf>
    <xf numFmtId="164" fontId="21" fillId="0" borderId="0" applyFont="true" applyBorder="false" applyAlignment="true" applyProtection="true">
      <alignment horizontal="general" vertical="top" textRotation="0" wrapText="false" indent="0" shrinkToFit="false"/>
      <protection locked="true" hidden="false"/>
    </xf>
    <xf numFmtId="165" fontId="20" fillId="0" borderId="0" applyFont="true" applyBorder="false" applyAlignment="true" applyProtection="true">
      <alignment horizontal="general" vertical="bottom" textRotation="0" wrapText="false" indent="0" shrinkToFit="false"/>
      <protection locked="true" hidden="false"/>
    </xf>
    <xf numFmtId="165" fontId="6" fillId="0" borderId="0" applyFont="true" applyBorder="false" applyAlignment="true" applyProtection="true">
      <alignment horizontal="general" vertical="bottom" textRotation="0" wrapText="true" indent="0" shrinkToFit="false"/>
      <protection locked="true" hidden="false"/>
    </xf>
    <xf numFmtId="165" fontId="6" fillId="0" borderId="0" applyFont="true" applyBorder="false" applyAlignment="true" applyProtection="true">
      <alignment horizontal="general" vertical="bottom" textRotation="0" wrapText="true" indent="0" shrinkToFit="false"/>
      <protection locked="true" hidden="false"/>
    </xf>
    <xf numFmtId="165" fontId="6" fillId="0" borderId="0" applyFont="true" applyBorder="false" applyAlignment="true" applyProtection="true">
      <alignment horizontal="general" vertical="bottom" textRotation="0" wrapText="true" indent="0" shrinkToFit="false"/>
      <protection locked="true" hidden="false"/>
    </xf>
    <xf numFmtId="165" fontId="6" fillId="0" borderId="0" applyFont="true" applyBorder="false" applyAlignment="true" applyProtection="true">
      <alignment horizontal="general" vertical="bottom" textRotation="0" wrapText="true" indent="0" shrinkToFit="false"/>
      <protection locked="true" hidden="false"/>
    </xf>
    <xf numFmtId="164" fontId="7" fillId="0" borderId="0" applyFont="true" applyBorder="false" applyAlignment="true" applyProtection="true">
      <alignment horizontal="general" vertical="top" textRotation="0" wrapText="false" indent="0" shrinkToFit="false"/>
      <protection locked="true" hidden="false"/>
    </xf>
    <xf numFmtId="164" fontId="21" fillId="0" borderId="0" applyFont="true" applyBorder="false" applyAlignment="true" applyProtection="true">
      <alignment horizontal="general" vertical="top" textRotation="0" wrapText="false" indent="0" shrinkToFit="false"/>
      <protection locked="true" hidden="false"/>
    </xf>
    <xf numFmtId="164" fontId="7" fillId="6" borderId="0" applyFont="true" applyBorder="false" applyAlignment="true" applyProtection="true">
      <alignment horizontal="general" vertical="top" textRotation="0" wrapText="false" indent="0" shrinkToFit="false"/>
      <protection locked="true" hidden="false"/>
    </xf>
    <xf numFmtId="165" fontId="20" fillId="0" borderId="0" applyFont="true" applyBorder="false" applyAlignment="true" applyProtection="true">
      <alignment horizontal="general" vertical="bottom" textRotation="0" wrapText="false" indent="0" shrinkToFit="false"/>
      <protection locked="true" hidden="false"/>
    </xf>
    <xf numFmtId="164" fontId="0" fillId="7" borderId="0" applyFont="true" applyBorder="false" applyAlignment="true" applyProtection="true">
      <alignment horizontal="general" vertical="top" textRotation="0" wrapText="false" indent="0" shrinkToFit="false"/>
      <protection locked="true" hidden="false"/>
    </xf>
    <xf numFmtId="164" fontId="21" fillId="0" borderId="0" applyFont="true" applyBorder="false" applyAlignment="true" applyProtection="true">
      <alignment horizontal="general" vertical="top" textRotation="0" wrapText="false" indent="0" shrinkToFit="false"/>
      <protection locked="true" hidden="false"/>
    </xf>
    <xf numFmtId="164" fontId="21" fillId="0" borderId="0" applyFont="true" applyBorder="false" applyAlignment="true" applyProtection="true">
      <alignment horizontal="general" vertical="top" textRotation="0" wrapText="false" indent="0" shrinkToFit="false"/>
      <protection locked="true" hidden="false"/>
    </xf>
    <xf numFmtId="165" fontId="19" fillId="0" borderId="0" applyFont="true" applyBorder="false" applyAlignment="true" applyProtection="true">
      <alignment horizontal="general" vertical="bottom" textRotation="0" wrapText="false" indent="0" shrinkToFit="false"/>
      <protection locked="true" hidden="false"/>
    </xf>
    <xf numFmtId="165" fontId="20" fillId="0" borderId="0" applyFont="true" applyBorder="false" applyAlignment="true" applyProtection="true">
      <alignment horizontal="general" vertical="bottom" textRotation="0" wrapText="false" indent="0" shrinkToFit="false"/>
      <protection locked="true" hidden="false"/>
    </xf>
  </cellStyleXfs>
  <cellXfs count="1208">
    <xf numFmtId="164" fontId="0" fillId="0" borderId="0" xfId="0" applyFont="false" applyBorder="false" applyAlignment="false" applyProtection="false">
      <alignment horizontal="general" vertical="top" textRotation="0" wrapText="false" indent="0" shrinkToFit="false"/>
      <protection locked="true" hidden="false"/>
    </xf>
    <xf numFmtId="165" fontId="20" fillId="0" borderId="0" xfId="0" applyFont="true" applyBorder="true" applyAlignment="true" applyProtection="true">
      <alignment horizontal="general" vertical="bottom" textRotation="0" wrapText="false" indent="0" shrinkToFit="false"/>
      <protection locked="true" hidden="false"/>
    </xf>
    <xf numFmtId="165" fontId="22" fillId="0" borderId="0" xfId="0" applyFont="true" applyBorder="true" applyAlignment="true" applyProtection="true">
      <alignment horizontal="general" vertical="bottom" textRotation="0" wrapText="true" indent="0" shrinkToFit="false"/>
      <protection locked="true" hidden="false"/>
    </xf>
    <xf numFmtId="164" fontId="23" fillId="0" borderId="0" xfId="0" applyFont="true" applyBorder="true" applyAlignment="true" applyProtection="true">
      <alignment horizontal="general" vertical="bottom" textRotation="0" wrapText="true" indent="0" shrinkToFit="false"/>
      <protection locked="true" hidden="false"/>
    </xf>
    <xf numFmtId="164" fontId="23" fillId="0" borderId="0" xfId="0" applyFont="true" applyBorder="true" applyAlignment="true" applyProtection="true">
      <alignment horizontal="general" vertical="center" textRotation="0" wrapText="true" indent="0" shrinkToFit="false"/>
      <protection locked="true" hidden="false"/>
    </xf>
    <xf numFmtId="164" fontId="24" fillId="0" borderId="0" xfId="0" applyFont="true" applyBorder="true" applyAlignment="true" applyProtection="true">
      <alignment horizontal="general" vertical="bottom" textRotation="0" wrapText="true" indent="0" shrinkToFit="false"/>
      <protection locked="true" hidden="false"/>
    </xf>
    <xf numFmtId="165" fontId="25" fillId="0" borderId="0" xfId="0" applyFont="true" applyBorder="true" applyAlignment="true" applyProtection="true">
      <alignment horizontal="general" vertical="center" textRotation="0" wrapText="true" indent="0" shrinkToFit="false"/>
      <protection locked="true" hidden="false"/>
    </xf>
    <xf numFmtId="165" fontId="25" fillId="0" borderId="0" xfId="0" applyFont="true" applyBorder="true" applyAlignment="true" applyProtection="true">
      <alignment horizontal="left" vertical="center" textRotation="0" wrapText="true" indent="0" shrinkToFit="false"/>
      <protection locked="true" hidden="false"/>
    </xf>
    <xf numFmtId="164" fontId="26" fillId="0" borderId="0" xfId="0" applyFont="true" applyBorder="true" applyAlignment="true" applyProtection="true">
      <alignment horizontal="general" vertical="bottom" textRotation="0" wrapText="true" indent="0" shrinkToFit="false"/>
      <protection locked="true" hidden="false"/>
    </xf>
    <xf numFmtId="165" fontId="25"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left" vertical="top" textRotation="0" wrapText="true" indent="0" shrinkToFit="false"/>
      <protection locked="true" hidden="false"/>
    </xf>
    <xf numFmtId="164" fontId="7" fillId="0" borderId="0" xfId="0" applyFont="true" applyBorder="true" applyAlignment="true" applyProtection="true">
      <alignment horizontal="general" vertical="top" textRotation="0" wrapText="true" indent="0" shrinkToFit="false"/>
      <protection locked="true" hidden="false"/>
    </xf>
    <xf numFmtId="172" fontId="6" fillId="8" borderId="3" xfId="0" applyFont="true" applyBorder="true" applyAlignment="true" applyProtection="true">
      <alignment horizontal="center" vertical="center" textRotation="0" wrapText="true" indent="0" shrinkToFit="false"/>
      <protection locked="true" hidden="false"/>
    </xf>
    <xf numFmtId="165" fontId="23" fillId="0" borderId="0" xfId="0" applyFont="true" applyBorder="true" applyAlignment="true" applyProtection="true">
      <alignment horizontal="general" vertical="bottom" textRotation="0" wrapText="true" indent="0" shrinkToFit="false"/>
      <protection locked="true" hidden="false"/>
    </xf>
    <xf numFmtId="165" fontId="6" fillId="9" borderId="4" xfId="0" applyFont="true" applyBorder="true" applyAlignment="true" applyProtection="true">
      <alignment horizontal="right" vertical="center" textRotation="0" wrapText="true" indent="1" shrinkToFit="false"/>
      <protection locked="true" hidden="false"/>
    </xf>
    <xf numFmtId="165" fontId="27" fillId="0" borderId="0" xfId="0" applyFont="true" applyBorder="true" applyAlignment="true" applyProtection="true">
      <alignment horizontal="left" vertical="center" textRotation="0" wrapText="true" indent="0" shrinkToFit="false"/>
      <protection locked="true" hidden="false"/>
    </xf>
    <xf numFmtId="165" fontId="28" fillId="0" borderId="0" xfId="0" applyFont="true" applyBorder="true" applyAlignment="true" applyProtection="true">
      <alignment horizontal="general" vertical="center" textRotation="0" wrapText="true" indent="0" shrinkToFit="false"/>
      <protection locked="true" hidden="false"/>
    </xf>
    <xf numFmtId="165" fontId="23" fillId="0" borderId="5" xfId="0" applyFont="true" applyBorder="true" applyAlignment="true" applyProtection="true">
      <alignment horizontal="general" vertical="bottom" textRotation="0" wrapText="true" indent="0" shrinkToFit="false"/>
      <protection locked="true" hidden="false"/>
    </xf>
    <xf numFmtId="165" fontId="23" fillId="0" borderId="0" xfId="0" applyFont="true" applyBorder="true" applyAlignment="true" applyProtection="true">
      <alignment horizontal="general" vertical="bottom" textRotation="0" wrapText="false" indent="0" shrinkToFit="false"/>
      <protection locked="true" hidden="false"/>
    </xf>
    <xf numFmtId="165" fontId="27" fillId="0" borderId="0" xfId="0" applyFont="true" applyBorder="true" applyAlignment="true" applyProtection="true">
      <alignment horizontal="general" vertical="bottom" textRotation="0" wrapText="false" indent="0" shrinkToFit="false"/>
      <protection locked="true" hidden="false"/>
    </xf>
    <xf numFmtId="165" fontId="29" fillId="0" borderId="0" xfId="0" applyFont="true" applyBorder="true" applyAlignment="true" applyProtection="true">
      <alignment horizontal="general" vertical="bottom" textRotation="0" wrapText="true" indent="0" shrinkToFit="false"/>
      <protection locked="true" hidden="false"/>
    </xf>
    <xf numFmtId="165" fontId="0" fillId="10" borderId="6" xfId="0" applyFont="true" applyBorder="true" applyAlignment="true" applyProtection="true">
      <alignment horizontal="center" vertical="center" textRotation="0" wrapText="true" indent="0" shrinkToFit="false"/>
      <protection locked="true" hidden="false"/>
    </xf>
    <xf numFmtId="165" fontId="29" fillId="0" borderId="5" xfId="0" applyFont="true" applyBorder="true" applyAlignment="true" applyProtection="true">
      <alignment horizontal="general" vertical="center" textRotation="0" wrapText="true" indent="0" shrinkToFit="false"/>
      <protection locked="true" hidden="false"/>
    </xf>
    <xf numFmtId="165" fontId="0" fillId="11" borderId="6" xfId="0" applyFont="true" applyBorder="true" applyAlignment="true" applyProtection="true">
      <alignment horizontal="center" vertical="center" textRotation="0" wrapText="true" indent="0" shrinkToFit="false"/>
      <protection locked="true" hidden="false"/>
    </xf>
    <xf numFmtId="165" fontId="29" fillId="0" borderId="5" xfId="0" applyFont="true" applyBorder="true" applyAlignment="true" applyProtection="true">
      <alignment horizontal="left" vertical="center" textRotation="0" wrapText="true" indent="0" shrinkToFit="false"/>
      <protection locked="true" hidden="false"/>
    </xf>
    <xf numFmtId="165" fontId="0" fillId="12" borderId="6" xfId="0" applyFont="true" applyBorder="true" applyAlignment="true" applyProtection="true">
      <alignment horizontal="center" vertical="center" textRotation="0" wrapText="true" indent="0" shrinkToFit="false"/>
      <protection locked="true" hidden="false"/>
    </xf>
    <xf numFmtId="165" fontId="0" fillId="13" borderId="6" xfId="0" applyFont="true" applyBorder="true" applyAlignment="true" applyProtection="true">
      <alignment horizontal="center" vertical="center" textRotation="0" wrapText="true" indent="0" shrinkToFit="false"/>
      <protection locked="true" hidden="false"/>
    </xf>
    <xf numFmtId="165" fontId="27" fillId="0" borderId="5" xfId="0" applyFont="true" applyBorder="true" applyAlignment="true" applyProtection="true">
      <alignment horizontal="left" vertical="center" textRotation="0" wrapText="true" indent="0" shrinkToFit="false"/>
      <protection locked="true" hidden="false"/>
    </xf>
    <xf numFmtId="165" fontId="27" fillId="0" borderId="7" xfId="0" applyFont="true" applyBorder="true" applyAlignment="true" applyProtection="true">
      <alignment horizontal="left" vertical="center" textRotation="0" wrapText="true" indent="0" shrinkToFit="false"/>
      <protection locked="true" hidden="false"/>
    </xf>
    <xf numFmtId="165" fontId="6" fillId="9" borderId="8" xfId="0" applyFont="true" applyBorder="true" applyAlignment="true" applyProtection="true">
      <alignment horizontal="right" vertical="center" textRotation="0" wrapText="true" indent="1" shrinkToFit="false"/>
      <protection locked="true" hidden="false"/>
    </xf>
    <xf numFmtId="165" fontId="29" fillId="0" borderId="0" xfId="0" applyFont="true" applyBorder="true" applyAlignment="true" applyProtection="true">
      <alignment horizontal="general" vertical="bottom" textRotation="0" wrapText="false" indent="0" shrinkToFit="false"/>
      <protection locked="true" hidden="false"/>
    </xf>
    <xf numFmtId="165" fontId="29" fillId="0" borderId="5" xfId="0" applyFont="true" applyBorder="true" applyAlignment="true" applyProtection="true">
      <alignment horizontal="general" vertical="bottom" textRotation="0" wrapText="true" indent="0" shrinkToFit="false"/>
      <protection locked="true" hidden="false"/>
    </xf>
    <xf numFmtId="165" fontId="29" fillId="0" borderId="0" xfId="0" applyFont="true" applyBorder="true" applyAlignment="true" applyProtection="true">
      <alignment horizontal="general" vertical="center" textRotation="0" wrapText="true" indent="0" shrinkToFit="false"/>
      <protection locked="true" hidden="false"/>
    </xf>
    <xf numFmtId="165" fontId="6" fillId="9" borderId="9" xfId="0" applyFont="true" applyBorder="true" applyAlignment="true" applyProtection="true">
      <alignment horizontal="right" vertical="center" textRotation="0" wrapText="true" indent="1" shrinkToFit="false"/>
      <protection locked="true" hidden="false"/>
    </xf>
    <xf numFmtId="165" fontId="29" fillId="0" borderId="0" xfId="0" applyFont="true" applyBorder="true" applyAlignment="true" applyProtection="true">
      <alignment horizontal="general" vertical="top" textRotation="0" wrapText="true" indent="0" shrinkToFit="false"/>
      <protection locked="true" hidden="false"/>
    </xf>
    <xf numFmtId="165" fontId="23" fillId="0" borderId="10" xfId="0" applyFont="true" applyBorder="true" applyAlignment="true" applyProtection="true">
      <alignment horizontal="general" vertical="bottom" textRotation="0" wrapText="true" indent="0" shrinkToFit="false"/>
      <protection locked="true" hidden="false"/>
    </xf>
    <xf numFmtId="165" fontId="23" fillId="0" borderId="11" xfId="0" applyFont="true" applyBorder="true" applyAlignment="true" applyProtection="true">
      <alignment horizontal="general" vertical="bottom" textRotation="0" wrapText="true" indent="0" shrinkToFit="false"/>
      <protection locked="true" hidden="false"/>
    </xf>
    <xf numFmtId="165" fontId="23" fillId="0" borderId="11" xfId="0" applyFont="true" applyBorder="true" applyAlignment="true" applyProtection="true">
      <alignment horizontal="general" vertical="center" textRotation="0" wrapText="true" indent="0" shrinkToFit="false"/>
      <protection locked="true" hidden="false"/>
    </xf>
    <xf numFmtId="165" fontId="24" fillId="0" borderId="0" xfId="0" applyFont="true" applyBorder="true" applyAlignment="true" applyProtection="true">
      <alignment horizontal="general" vertical="bottom" textRotation="0" wrapText="false" indent="0" shrinkToFit="false"/>
      <protection locked="true" hidden="false"/>
    </xf>
    <xf numFmtId="165" fontId="30" fillId="0" borderId="0" xfId="0" applyFont="true" applyBorder="true" applyAlignment="true" applyProtection="true">
      <alignment horizontal="left" vertical="center" textRotation="0" wrapText="true" indent="0" shrinkToFit="false"/>
      <protection locked="true" hidden="false"/>
    </xf>
    <xf numFmtId="165" fontId="31" fillId="0" borderId="0" xfId="0" applyFont="true" applyBorder="true" applyAlignment="true" applyProtection="true">
      <alignment horizontal="left" vertical="center" textRotation="0" wrapText="true" indent="0" shrinkToFit="false"/>
      <protection locked="true" hidden="false"/>
    </xf>
    <xf numFmtId="165" fontId="32" fillId="0" borderId="0" xfId="0" applyFont="true" applyBorder="true" applyAlignment="true" applyProtection="true">
      <alignment horizontal="general" vertical="center" textRotation="0" wrapText="true" indent="0" shrinkToFit="false"/>
      <protection locked="true" hidden="false"/>
    </xf>
    <xf numFmtId="165" fontId="7" fillId="0" borderId="0" xfId="0" applyFont="true" applyBorder="true" applyAlignment="true" applyProtection="true">
      <alignment horizontal="general" vertical="center" textRotation="0" wrapText="true" indent="0" shrinkToFit="false"/>
      <protection locked="true" hidden="false"/>
    </xf>
    <xf numFmtId="165" fontId="7" fillId="0" borderId="0" xfId="0" applyFont="true" applyBorder="true" applyAlignment="true" applyProtection="true">
      <alignment horizontal="center" vertical="center" textRotation="0" wrapText="true" indent="0" shrinkToFit="false"/>
      <protection locked="true" hidden="false"/>
    </xf>
    <xf numFmtId="165" fontId="31" fillId="0" borderId="0" xfId="0" applyFont="true" applyBorder="true" applyAlignment="true" applyProtection="true">
      <alignment horizontal="center" vertical="center" textRotation="0" wrapText="true" indent="0" shrinkToFit="false"/>
      <protection locked="true" hidden="false"/>
    </xf>
    <xf numFmtId="165" fontId="31" fillId="0" borderId="0" xfId="0" applyFont="true" applyBorder="true" applyAlignment="true" applyProtection="true">
      <alignment horizontal="general" vertical="center" textRotation="0" wrapText="true" indent="0" shrinkToFit="false"/>
      <protection locked="true" hidden="false"/>
    </xf>
    <xf numFmtId="165" fontId="33" fillId="0" borderId="0" xfId="0" applyFont="true" applyBorder="true" applyAlignment="true" applyProtection="true">
      <alignment horizontal="left" vertical="center" textRotation="0" wrapText="true" indent="0" shrinkToFit="false"/>
      <protection locked="true" hidden="false"/>
    </xf>
    <xf numFmtId="165" fontId="33" fillId="0" borderId="0" xfId="0" applyFont="true" applyBorder="true" applyAlignment="true" applyProtection="true">
      <alignment horizontal="general" vertical="center" textRotation="0" wrapText="true" indent="0" shrinkToFit="false"/>
      <protection locked="true" hidden="false"/>
    </xf>
    <xf numFmtId="172" fontId="7" fillId="0" borderId="0" xfId="0" applyFont="true" applyBorder="true" applyAlignment="true" applyProtection="true">
      <alignment horizontal="left" vertical="top" textRotation="0" wrapText="false" indent="1" shrinkToFit="false"/>
      <protection locked="true" hidden="false"/>
    </xf>
    <xf numFmtId="164" fontId="23" fillId="0" borderId="0" xfId="0" applyFont="true" applyBorder="true" applyAlignment="true" applyProtection="true">
      <alignment horizontal="general" vertical="top" textRotation="0" wrapText="false" indent="0" shrinkToFit="false"/>
      <protection locked="true" hidden="false"/>
    </xf>
    <xf numFmtId="164" fontId="7" fillId="0" borderId="0" xfId="0" applyFont="true" applyBorder="true" applyAlignment="true" applyProtection="true">
      <alignment horizontal="general" vertical="center" textRotation="0" wrapText="true" indent="0" shrinkToFit="false"/>
      <protection locked="true" hidden="false"/>
    </xf>
    <xf numFmtId="164" fontId="31" fillId="0" borderId="0" xfId="0" applyFont="true" applyBorder="true" applyAlignment="true" applyProtection="true">
      <alignment horizontal="general" vertical="center" textRotation="0" wrapText="true" indent="0" shrinkToFit="false"/>
      <protection locked="true" hidden="false"/>
    </xf>
    <xf numFmtId="172" fontId="0" fillId="0" borderId="0" xfId="0" applyFont="true" applyBorder="true" applyAlignment="true" applyProtection="true">
      <alignment horizontal="left" vertical="center" textRotation="0" wrapText="false" indent="1" shrinkToFit="false"/>
      <protection locked="true" hidden="false"/>
    </xf>
    <xf numFmtId="164" fontId="0" fillId="0" borderId="0" xfId="0" applyFont="true" applyBorder="true" applyAlignment="true" applyProtection="true">
      <alignment horizontal="general" vertical="top" textRotation="0" wrapText="false" indent="0" shrinkToFit="false"/>
      <protection locked="true" hidden="false"/>
    </xf>
    <xf numFmtId="164" fontId="31" fillId="0" borderId="0" xfId="0" applyFont="true" applyBorder="true" applyAlignment="true" applyProtection="true">
      <alignment horizontal="general" vertical="top" textRotation="0" wrapText="false" indent="0" shrinkToFit="false"/>
      <protection locked="true" hidden="false"/>
    </xf>
    <xf numFmtId="165" fontId="34" fillId="0" borderId="0" xfId="0" applyFont="true" applyBorder="true" applyAlignment="true" applyProtection="true">
      <alignment horizontal="left" vertical="center" textRotation="0" wrapText="true" indent="0" shrinkToFit="false"/>
      <protection locked="true" hidden="false"/>
    </xf>
    <xf numFmtId="165" fontId="35" fillId="0" borderId="0" xfId="0" applyFont="true" applyBorder="true" applyAlignment="true" applyProtection="true">
      <alignment horizontal="general" vertical="center" textRotation="0" wrapText="true" indent="0" shrinkToFit="false"/>
      <protection locked="true" hidden="false"/>
    </xf>
    <xf numFmtId="165" fontId="36" fillId="7" borderId="0" xfId="0" applyFont="true" applyBorder="true" applyAlignment="true" applyProtection="true">
      <alignment horizontal="general" vertical="center" textRotation="0" wrapText="true" indent="0" shrinkToFit="false"/>
      <protection locked="true" hidden="false"/>
    </xf>
    <xf numFmtId="165" fontId="36" fillId="0" borderId="0" xfId="0" applyFont="true" applyBorder="true" applyAlignment="true" applyProtection="true">
      <alignment horizontal="general" vertical="center" textRotation="0" wrapText="true" indent="0" shrinkToFit="false"/>
      <protection locked="true" hidden="false"/>
    </xf>
    <xf numFmtId="165" fontId="36" fillId="0" borderId="0" xfId="0" applyFont="true" applyBorder="true" applyAlignment="true" applyProtection="true">
      <alignment horizontal="right" vertical="center" textRotation="0" wrapText="false" indent="0" shrinkToFit="false"/>
      <protection locked="true" hidden="false"/>
    </xf>
    <xf numFmtId="165" fontId="34" fillId="0" borderId="0" xfId="0" applyFont="true" applyBorder="true" applyAlignment="true" applyProtection="true">
      <alignment horizontal="general" vertical="center" textRotation="0" wrapText="true" indent="0" shrinkToFit="false"/>
      <protection locked="true" hidden="false"/>
    </xf>
    <xf numFmtId="165" fontId="37" fillId="7" borderId="0" xfId="0" applyFont="true" applyBorder="true" applyAlignment="true" applyProtection="true">
      <alignment horizontal="general" vertical="center" textRotation="0" wrapText="true" indent="0" shrinkToFit="false"/>
      <protection locked="true" hidden="false"/>
    </xf>
    <xf numFmtId="172" fontId="7" fillId="0" borderId="12" xfId="0" applyFont="true" applyBorder="true" applyAlignment="true" applyProtection="true">
      <alignment horizontal="center" vertical="center" textRotation="0" wrapText="true" indent="0" shrinkToFit="false"/>
      <protection locked="true" hidden="false"/>
    </xf>
    <xf numFmtId="165" fontId="18" fillId="7" borderId="0" xfId="0" applyFont="true" applyBorder="true" applyAlignment="true" applyProtection="true">
      <alignment horizontal="general" vertical="center" textRotation="0" wrapText="true" indent="0" shrinkToFit="false"/>
      <protection locked="true" hidden="false"/>
    </xf>
    <xf numFmtId="165" fontId="38" fillId="0" borderId="0" xfId="0" applyFont="true" applyBorder="true" applyAlignment="true" applyProtection="true">
      <alignment horizontal="general" vertical="center" textRotation="0" wrapText="true" indent="0" shrinkToFit="false"/>
      <protection locked="true" hidden="false"/>
    </xf>
    <xf numFmtId="165" fontId="36" fillId="7" borderId="0" xfId="0" applyFont="true" applyBorder="true" applyAlignment="true" applyProtection="true">
      <alignment horizontal="right" vertical="center" textRotation="0" wrapText="true" indent="1" shrinkToFit="false"/>
      <protection locked="true" hidden="false"/>
    </xf>
    <xf numFmtId="165" fontId="39" fillId="7" borderId="0" xfId="0" applyFont="true" applyBorder="true" applyAlignment="true" applyProtection="true">
      <alignment horizontal="center" vertical="center" textRotation="0" wrapText="true" indent="0" shrinkToFit="false"/>
      <protection locked="true" hidden="false"/>
    </xf>
    <xf numFmtId="165" fontId="7" fillId="7" borderId="13" xfId="0" applyFont="true" applyBorder="true" applyAlignment="true" applyProtection="true">
      <alignment horizontal="right" vertical="center" textRotation="0" wrapText="true" indent="1" shrinkToFit="false"/>
      <protection locked="true" hidden="false"/>
    </xf>
    <xf numFmtId="165" fontId="0" fillId="12" borderId="14" xfId="0" applyFont="true" applyBorder="true" applyAlignment="true" applyProtection="true">
      <alignment horizontal="left" vertical="center" textRotation="0" wrapText="true" indent="1" shrinkToFit="false"/>
      <protection locked="true" hidden="false"/>
    </xf>
    <xf numFmtId="173" fontId="30" fillId="7" borderId="0" xfId="0" applyFont="true" applyBorder="true" applyAlignment="true" applyProtection="true">
      <alignment horizontal="left" vertical="center" textRotation="0" wrapText="true" indent="0" shrinkToFit="false"/>
      <protection locked="true" hidden="false"/>
    </xf>
    <xf numFmtId="165" fontId="34" fillId="7" borderId="0" xfId="0" applyFont="true" applyBorder="true" applyAlignment="true" applyProtection="true">
      <alignment horizontal="center" vertical="center" textRotation="0" wrapText="true" indent="0" shrinkToFit="false"/>
      <protection locked="true" hidden="false"/>
    </xf>
    <xf numFmtId="165" fontId="36" fillId="7" borderId="0" xfId="0" applyFont="true" applyBorder="true" applyAlignment="true" applyProtection="true">
      <alignment horizontal="left" vertical="center" textRotation="0" wrapText="true" indent="1" shrinkToFit="false"/>
      <protection locked="true" hidden="false"/>
    </xf>
    <xf numFmtId="165" fontId="7" fillId="7" borderId="0" xfId="0" applyFont="true" applyBorder="true" applyAlignment="true" applyProtection="true">
      <alignment horizontal="center" vertical="center" textRotation="0" wrapText="true" indent="0" shrinkToFit="false"/>
      <protection locked="true" hidden="false"/>
    </xf>
    <xf numFmtId="165" fontId="34" fillId="0" borderId="0" xfId="0" applyFont="true" applyBorder="true" applyAlignment="true" applyProtection="true">
      <alignment horizontal="center" vertical="center" textRotation="0" wrapText="true" indent="0" shrinkToFit="false"/>
      <protection locked="true" hidden="false"/>
    </xf>
    <xf numFmtId="165" fontId="7" fillId="13" borderId="14" xfId="0" applyFont="true" applyBorder="true" applyAlignment="true" applyProtection="true">
      <alignment horizontal="left" vertical="top" textRotation="0" wrapText="true" indent="1" shrinkToFit="false"/>
      <protection locked="false" hidden="false"/>
    </xf>
    <xf numFmtId="172" fontId="7" fillId="0" borderId="0" xfId="0" applyFont="true" applyBorder="true" applyAlignment="true" applyProtection="true">
      <alignment horizontal="left" vertical="center" textRotation="0" wrapText="true" indent="0" shrinkToFit="false"/>
      <protection locked="true" hidden="false"/>
    </xf>
    <xf numFmtId="173" fontId="40" fillId="0" borderId="14" xfId="0" applyFont="true" applyBorder="true" applyAlignment="true" applyProtection="true">
      <alignment horizontal="center" vertical="center" textRotation="0" wrapText="true" indent="0" shrinkToFit="false"/>
      <protection locked="true" hidden="false"/>
    </xf>
    <xf numFmtId="174" fontId="0" fillId="13" borderId="14" xfId="0" applyFont="true" applyBorder="true" applyAlignment="true" applyProtection="true">
      <alignment horizontal="left" vertical="center" textRotation="0" wrapText="true" indent="1" shrinkToFit="false"/>
      <protection locked="false" hidden="false"/>
    </xf>
    <xf numFmtId="165" fontId="17" fillId="0" borderId="0" xfId="0" applyFont="true" applyBorder="true" applyAlignment="true" applyProtection="true">
      <alignment horizontal="left" vertical="center" textRotation="0" wrapText="false" indent="1" shrinkToFit="false"/>
      <protection locked="true" hidden="false"/>
    </xf>
    <xf numFmtId="165" fontId="7" fillId="7" borderId="0" xfId="0" applyFont="true" applyBorder="true" applyAlignment="true" applyProtection="true">
      <alignment horizontal="general" vertical="center" textRotation="0" wrapText="true" indent="0" shrinkToFit="false"/>
      <protection locked="true" hidden="false"/>
    </xf>
    <xf numFmtId="173" fontId="40" fillId="0" borderId="14" xfId="0" applyFont="true" applyBorder="true" applyAlignment="true" applyProtection="true">
      <alignment horizontal="left" vertical="center" textRotation="0" wrapText="true" indent="0" shrinkToFit="false"/>
      <protection locked="true" hidden="false"/>
    </xf>
    <xf numFmtId="164" fontId="7" fillId="7" borderId="13" xfId="0" applyFont="true" applyBorder="true" applyAlignment="true" applyProtection="true">
      <alignment horizontal="right" vertical="center" textRotation="0" wrapText="true" indent="1" shrinkToFit="false"/>
      <protection locked="true" hidden="false"/>
    </xf>
    <xf numFmtId="165" fontId="0" fillId="13" borderId="14" xfId="0" applyFont="true" applyBorder="true" applyAlignment="true" applyProtection="true">
      <alignment horizontal="left" vertical="center" textRotation="0" wrapText="true" indent="1" shrinkToFit="false"/>
      <protection locked="false" hidden="false"/>
    </xf>
    <xf numFmtId="164" fontId="7" fillId="13" borderId="14" xfId="0" applyFont="true" applyBorder="true" applyAlignment="true" applyProtection="true">
      <alignment horizontal="left" vertical="center" textRotation="0" wrapText="true" indent="1" shrinkToFit="false"/>
      <protection locked="false" hidden="false"/>
    </xf>
    <xf numFmtId="174" fontId="0" fillId="0" borderId="14" xfId="0" applyFont="true" applyBorder="true" applyAlignment="true" applyProtection="true">
      <alignment horizontal="left" vertical="center" textRotation="0" wrapText="true" indent="1" shrinkToFit="false"/>
      <protection locked="true" hidden="false"/>
    </xf>
    <xf numFmtId="165" fontId="0" fillId="7" borderId="0" xfId="0" applyFont="true" applyBorder="true" applyAlignment="true" applyProtection="true">
      <alignment horizontal="right" vertical="center" textRotation="0" wrapText="true" indent="1" shrinkToFit="false"/>
      <protection locked="true" hidden="false"/>
    </xf>
    <xf numFmtId="165" fontId="38" fillId="0" borderId="0" xfId="0" applyFont="true" applyBorder="true" applyAlignment="true" applyProtection="true">
      <alignment horizontal="left" vertical="center" textRotation="0" wrapText="true" indent="0" shrinkToFit="false"/>
      <protection locked="true" hidden="false"/>
    </xf>
    <xf numFmtId="165" fontId="7" fillId="7" borderId="0" xfId="0" applyFont="true" applyBorder="true" applyAlignment="true" applyProtection="true">
      <alignment horizontal="right" vertical="center" textRotation="0" wrapText="true" indent="1" shrinkToFit="false"/>
      <protection locked="true" hidden="false"/>
    </xf>
    <xf numFmtId="165" fontId="0" fillId="7" borderId="0" xfId="0" applyFont="true" applyBorder="true" applyAlignment="true" applyProtection="true">
      <alignment horizontal="left" vertical="center" textRotation="0" wrapText="true" indent="1" shrinkToFit="false"/>
      <protection locked="true" hidden="false"/>
    </xf>
    <xf numFmtId="164" fontId="7" fillId="0" borderId="14" xfId="0" applyFont="true" applyBorder="true" applyAlignment="true" applyProtection="true">
      <alignment horizontal="left" vertical="center" textRotation="0" wrapText="true" indent="1" shrinkToFit="false"/>
      <protection locked="true" hidden="false"/>
    </xf>
    <xf numFmtId="165" fontId="32" fillId="0" borderId="0" xfId="0" applyFont="true" applyBorder="true" applyAlignment="true" applyProtection="true">
      <alignment horizontal="center" vertical="center" textRotation="0" wrapText="true" indent="0" shrinkToFit="false"/>
      <protection locked="true" hidden="false"/>
    </xf>
    <xf numFmtId="165" fontId="41" fillId="7" borderId="0" xfId="0" applyFont="true" applyBorder="true" applyAlignment="true" applyProtection="true">
      <alignment horizontal="center" vertical="center" textRotation="0" wrapText="true" indent="0" shrinkToFit="false"/>
      <protection locked="true" hidden="false"/>
    </xf>
    <xf numFmtId="164" fontId="7" fillId="12" borderId="14" xfId="0" applyFont="true" applyBorder="true" applyAlignment="true" applyProtection="true">
      <alignment horizontal="left" vertical="center" textRotation="0" wrapText="true" indent="1" shrinkToFit="false"/>
      <protection locked="true" hidden="false"/>
    </xf>
    <xf numFmtId="173" fontId="7" fillId="7" borderId="0" xfId="0" applyFont="true" applyBorder="true" applyAlignment="true" applyProtection="true">
      <alignment horizontal="center" vertical="center" textRotation="0" wrapText="true" indent="0" shrinkToFit="false"/>
      <protection locked="true" hidden="false"/>
    </xf>
    <xf numFmtId="165" fontId="0" fillId="7" borderId="13" xfId="0" applyFont="true" applyBorder="true" applyAlignment="true" applyProtection="true">
      <alignment horizontal="right" vertical="center" textRotation="0" wrapText="true" indent="1" shrinkToFit="false"/>
      <protection locked="true" hidden="false"/>
    </xf>
    <xf numFmtId="165" fontId="7" fillId="0" borderId="0" xfId="0" applyFont="true" applyBorder="true" applyAlignment="true" applyProtection="true">
      <alignment horizontal="general" vertical="center" textRotation="0" wrapText="false" indent="0" shrinkToFit="false"/>
      <protection locked="true" hidden="false"/>
    </xf>
    <xf numFmtId="173" fontId="7" fillId="7" borderId="0" xfId="0" applyFont="true" applyBorder="true" applyAlignment="true" applyProtection="true">
      <alignment horizontal="left" vertical="center" textRotation="0" wrapText="true" indent="0" shrinkToFit="false"/>
      <protection locked="true" hidden="false"/>
    </xf>
    <xf numFmtId="165" fontId="7" fillId="13" borderId="14" xfId="0" applyFont="true" applyBorder="true" applyAlignment="true" applyProtection="true">
      <alignment horizontal="left" vertical="center" textRotation="0" wrapText="true" indent="1" shrinkToFit="false"/>
      <protection locked="false" hidden="false"/>
    </xf>
    <xf numFmtId="165" fontId="42" fillId="7" borderId="0" xfId="0" applyFont="true" applyBorder="true" applyAlignment="true" applyProtection="true">
      <alignment horizontal="right" vertical="center" textRotation="0" wrapText="true" indent="1" shrinkToFit="false"/>
      <protection locked="true" hidden="false"/>
    </xf>
    <xf numFmtId="165" fontId="42" fillId="7" borderId="0" xfId="0" applyFont="true" applyBorder="true" applyAlignment="true" applyProtection="true">
      <alignment horizontal="left" vertical="center" textRotation="0" wrapText="true" indent="1" shrinkToFit="false"/>
      <protection locked="true" hidden="false"/>
    </xf>
    <xf numFmtId="164" fontId="7" fillId="14" borderId="14" xfId="0" applyFont="true" applyBorder="true" applyAlignment="true" applyProtection="true">
      <alignment horizontal="left" vertical="center" textRotation="0" wrapText="true" indent="1" shrinkToFit="false"/>
      <protection locked="true" hidden="false"/>
    </xf>
    <xf numFmtId="164" fontId="15" fillId="0" borderId="14" xfId="0" applyFont="true" applyBorder="true" applyAlignment="true" applyProtection="true">
      <alignment horizontal="left" vertical="center" textRotation="0" wrapText="true" indent="1" shrinkToFit="false"/>
      <protection locked="true" hidden="false"/>
    </xf>
    <xf numFmtId="173" fontId="45" fillId="0" borderId="0" xfId="0" applyFont="true" applyBorder="true" applyAlignment="true" applyProtection="true">
      <alignment horizontal="center" vertical="center" textRotation="0" wrapText="true" indent="0" shrinkToFit="false"/>
      <protection locked="true" hidden="false"/>
    </xf>
    <xf numFmtId="165" fontId="46" fillId="0" borderId="0" xfId="0" applyFont="true" applyBorder="true" applyAlignment="true" applyProtection="true">
      <alignment horizontal="general" vertical="center" textRotation="0" wrapText="true" indent="0" shrinkToFit="false"/>
      <protection locked="true" hidden="false"/>
    </xf>
    <xf numFmtId="165" fontId="7" fillId="14" borderId="14" xfId="0" applyFont="true" applyBorder="true" applyAlignment="true" applyProtection="true">
      <alignment horizontal="left" vertical="center" textRotation="0" wrapText="true" indent="1" shrinkToFit="false"/>
      <protection locked="true" hidden="false"/>
    </xf>
    <xf numFmtId="174" fontId="0" fillId="0" borderId="9" xfId="0" applyFont="true" applyBorder="true" applyAlignment="true" applyProtection="true">
      <alignment horizontal="left" vertical="center" textRotation="0" wrapText="true" indent="1" shrinkToFit="false"/>
      <protection locked="true" hidden="false"/>
    </xf>
    <xf numFmtId="164" fontId="31" fillId="0" borderId="0" xfId="0" applyFont="true" applyBorder="true" applyAlignment="true" applyProtection="true">
      <alignment horizontal="left" vertical="center" textRotation="0" wrapText="true" indent="0" shrinkToFit="false"/>
      <protection locked="true" hidden="false"/>
    </xf>
    <xf numFmtId="164" fontId="37" fillId="7" borderId="0" xfId="0" applyFont="true" applyBorder="true" applyAlignment="true" applyProtection="true">
      <alignment horizontal="center" vertical="center" textRotation="0" wrapText="true" indent="0" shrinkToFit="false"/>
      <protection locked="true" hidden="false"/>
    </xf>
    <xf numFmtId="165" fontId="7" fillId="0" borderId="0" xfId="0" applyFont="true" applyBorder="true" applyAlignment="true" applyProtection="true">
      <alignment horizontal="left" vertical="center" textRotation="0" wrapText="true" indent="4" shrinkToFit="false"/>
      <protection locked="true" hidden="false"/>
    </xf>
    <xf numFmtId="165" fontId="7" fillId="0" borderId="0" xfId="0" applyFont="true" applyBorder="true" applyAlignment="true" applyProtection="true">
      <alignment horizontal="left" vertical="center" textRotation="0" wrapText="true" indent="1" shrinkToFit="false"/>
      <protection locked="true" hidden="false"/>
    </xf>
    <xf numFmtId="164" fontId="14" fillId="13" borderId="14" xfId="0" applyFont="true" applyBorder="true" applyAlignment="true" applyProtection="true">
      <alignment horizontal="left" vertical="center" textRotation="0" wrapText="true" indent="1" shrinkToFit="false"/>
      <protection locked="false" hidden="false"/>
    </xf>
    <xf numFmtId="165" fontId="0" fillId="0" borderId="0" xfId="0" applyFont="true" applyBorder="true" applyAlignment="true" applyProtection="true">
      <alignment horizontal="center" vertical="center" textRotation="0" wrapText="true" indent="0" shrinkToFit="false"/>
      <protection locked="true" hidden="false"/>
    </xf>
    <xf numFmtId="164" fontId="7" fillId="7" borderId="0" xfId="0" applyFont="true" applyBorder="true" applyAlignment="true" applyProtection="true">
      <alignment horizontal="right" vertical="center" textRotation="0" wrapText="true" indent="1" shrinkToFit="false"/>
      <protection locked="true" hidden="false"/>
    </xf>
    <xf numFmtId="164" fontId="7" fillId="0" borderId="0" xfId="0" applyFont="true" applyBorder="true" applyAlignment="true" applyProtection="true">
      <alignment horizontal="center" vertical="center" textRotation="0" wrapText="true" indent="0" shrinkToFit="false"/>
      <protection locked="true" hidden="false"/>
    </xf>
    <xf numFmtId="164" fontId="0" fillId="7" borderId="0" xfId="0" applyFont="true" applyBorder="true" applyAlignment="true" applyProtection="true">
      <alignment horizontal="right" vertical="center" textRotation="0" wrapText="true" indent="1" shrinkToFit="false"/>
      <protection locked="true" hidden="false"/>
    </xf>
    <xf numFmtId="165" fontId="18" fillId="0" borderId="0" xfId="0" applyFont="true" applyBorder="true" applyAlignment="true" applyProtection="true">
      <alignment horizontal="general" vertical="top" textRotation="0" wrapText="true" indent="0" shrinkToFit="false"/>
      <protection locked="true" hidden="false"/>
    </xf>
    <xf numFmtId="165" fontId="47" fillId="0" borderId="0" xfId="0" applyFont="true" applyBorder="true" applyAlignment="true" applyProtection="true">
      <alignment horizontal="center" vertical="center" textRotation="0" wrapText="true" indent="0" shrinkToFit="false"/>
      <protection locked="true" hidden="false"/>
    </xf>
    <xf numFmtId="165" fontId="33" fillId="0" borderId="0" xfId="0" applyFont="true" applyBorder="true" applyAlignment="true" applyProtection="true">
      <alignment horizontal="general" vertical="center" textRotation="0" wrapText="false" indent="0" shrinkToFit="false"/>
      <protection locked="true" hidden="false"/>
    </xf>
    <xf numFmtId="165" fontId="48" fillId="0" borderId="0" xfId="0" applyFont="true" applyBorder="true" applyAlignment="true" applyProtection="true">
      <alignment horizontal="general" vertical="center" textRotation="0" wrapText="false" indent="0" shrinkToFit="false"/>
      <protection locked="true" hidden="false"/>
    </xf>
    <xf numFmtId="165" fontId="49" fillId="0" borderId="0" xfId="0" applyFont="true" applyBorder="true" applyAlignment="true" applyProtection="true">
      <alignment horizontal="general" vertical="center" textRotation="0" wrapText="true" indent="0" shrinkToFit="false"/>
      <protection locked="true" hidden="false"/>
    </xf>
    <xf numFmtId="165" fontId="33" fillId="0" borderId="0" xfId="0" applyFont="true" applyBorder="true" applyAlignment="true" applyProtection="true">
      <alignment horizontal="center" vertical="center" textRotation="0" wrapText="true" indent="0" shrinkToFit="false"/>
      <protection locked="true" hidden="false"/>
    </xf>
    <xf numFmtId="165" fontId="33" fillId="0" borderId="0" xfId="0" applyFont="true" applyBorder="true" applyAlignment="true" applyProtection="true">
      <alignment horizontal="left" vertical="center" textRotation="0" wrapText="false" indent="1" shrinkToFit="false"/>
      <protection locked="true" hidden="false"/>
    </xf>
    <xf numFmtId="165" fontId="33" fillId="0" borderId="0" xfId="0" applyFont="true" applyBorder="true" applyAlignment="true" applyProtection="true">
      <alignment horizontal="left" vertical="center" textRotation="0" wrapText="true" indent="1" shrinkToFit="false"/>
      <protection locked="true" hidden="false"/>
    </xf>
    <xf numFmtId="165" fontId="31" fillId="0" borderId="0" xfId="0" applyFont="true" applyBorder="true" applyAlignment="true" applyProtection="true">
      <alignment horizontal="left" vertical="center" textRotation="0" wrapText="true" indent="1" shrinkToFit="false"/>
      <protection locked="true" hidden="false"/>
    </xf>
    <xf numFmtId="165" fontId="50" fillId="0" borderId="0" xfId="0" applyFont="true" applyBorder="true" applyAlignment="true" applyProtection="true">
      <alignment horizontal="left" vertical="center" textRotation="0" wrapText="true" indent="1" shrinkToFit="false"/>
      <protection locked="true" hidden="false"/>
    </xf>
    <xf numFmtId="165" fontId="51" fillId="0" borderId="0" xfId="0" applyFont="true" applyBorder="true" applyAlignment="true" applyProtection="true">
      <alignment horizontal="left" vertical="center" textRotation="0" wrapText="false" indent="1" shrinkToFit="false"/>
      <protection locked="true" hidden="false"/>
    </xf>
    <xf numFmtId="165" fontId="50" fillId="0" borderId="0" xfId="0" applyFont="true" applyBorder="true" applyAlignment="true" applyProtection="true">
      <alignment horizontal="general" vertical="center" textRotation="0" wrapText="true" indent="0" shrinkToFit="false"/>
      <protection locked="true" hidden="false"/>
    </xf>
    <xf numFmtId="165" fontId="7" fillId="0" borderId="0" xfId="0" applyFont="true" applyBorder="true" applyAlignment="true" applyProtection="true">
      <alignment horizontal="right" vertical="center" textRotation="0" wrapText="true" indent="0" shrinkToFit="false"/>
      <protection locked="true" hidden="false"/>
    </xf>
    <xf numFmtId="165" fontId="52" fillId="0" borderId="0" xfId="0" applyFont="true" applyBorder="true" applyAlignment="true" applyProtection="true">
      <alignment horizontal="general" vertical="center" textRotation="0" wrapText="true" indent="0" shrinkToFit="false"/>
      <protection locked="true" hidden="false"/>
    </xf>
    <xf numFmtId="172" fontId="7" fillId="0" borderId="12" xfId="0" applyFont="true" applyBorder="true" applyAlignment="true" applyProtection="true">
      <alignment horizontal="left" vertical="center" textRotation="0" wrapText="true" indent="1" shrinkToFit="false"/>
      <protection locked="true" hidden="false"/>
    </xf>
    <xf numFmtId="171" fontId="7" fillId="0" borderId="0" xfId="0" applyFont="true" applyBorder="true" applyAlignment="true" applyProtection="true">
      <alignment horizontal="right" vertical="center" textRotation="0" wrapText="true" indent="0" shrinkToFit="false"/>
      <protection locked="true" hidden="false"/>
    </xf>
    <xf numFmtId="164" fontId="7" fillId="0" borderId="0" xfId="0" applyFont="true" applyBorder="true" applyAlignment="true" applyProtection="true">
      <alignment horizontal="general" vertical="top" textRotation="0" wrapText="false" indent="0" shrinkToFit="false"/>
      <protection locked="true" hidden="false"/>
    </xf>
    <xf numFmtId="171" fontId="7" fillId="0" borderId="0" xfId="0" applyFont="true" applyBorder="true" applyAlignment="true" applyProtection="true">
      <alignment horizontal="center" vertical="center" textRotation="0" wrapText="true" indent="0" shrinkToFit="false"/>
      <protection locked="true" hidden="false"/>
    </xf>
    <xf numFmtId="165" fontId="7" fillId="0" borderId="14" xfId="0" applyFont="true" applyBorder="true" applyAlignment="true" applyProtection="true">
      <alignment horizontal="center" vertical="center" textRotation="0" wrapText="true" indent="0" shrinkToFit="false"/>
      <protection locked="true" hidden="false"/>
    </xf>
    <xf numFmtId="171" fontId="7" fillId="0" borderId="14" xfId="0" applyFont="true" applyBorder="true" applyAlignment="true" applyProtection="true">
      <alignment horizontal="center" vertical="center" textRotation="0" wrapText="true" indent="0" shrinkToFit="false"/>
      <protection locked="true" hidden="false"/>
    </xf>
    <xf numFmtId="175" fontId="7" fillId="0" borderId="15" xfId="0" applyFont="true" applyBorder="true" applyAlignment="true" applyProtection="true">
      <alignment horizontal="center" vertical="center" textRotation="0" wrapText="true" indent="0" shrinkToFit="false"/>
      <protection locked="true" hidden="false"/>
    </xf>
    <xf numFmtId="175" fontId="7" fillId="0" borderId="14" xfId="0" applyFont="true" applyBorder="true" applyAlignment="true" applyProtection="true">
      <alignment horizontal="center" vertical="center" textRotation="0" wrapText="true" indent="0" shrinkToFit="false"/>
      <protection locked="true" hidden="false"/>
    </xf>
    <xf numFmtId="165" fontId="53" fillId="0" borderId="0" xfId="0" applyFont="true" applyBorder="true" applyAlignment="true" applyProtection="true">
      <alignment horizontal="center" vertical="center" textRotation="0" wrapText="true" indent="0" shrinkToFit="false"/>
      <protection locked="true" hidden="false"/>
    </xf>
    <xf numFmtId="164" fontId="53" fillId="0" borderId="12" xfId="0" applyFont="true" applyBorder="true" applyAlignment="true" applyProtection="true">
      <alignment horizontal="center" vertical="center" textRotation="0" wrapText="true" indent="0" shrinkToFit="false"/>
      <protection locked="true" hidden="false"/>
    </xf>
    <xf numFmtId="165" fontId="31" fillId="0" borderId="0" xfId="0" applyFont="true" applyBorder="true" applyAlignment="true" applyProtection="true">
      <alignment horizontal="general" vertical="center" textRotation="0" wrapText="false" indent="0" shrinkToFit="false"/>
      <protection locked="true" hidden="false"/>
    </xf>
    <xf numFmtId="165" fontId="54" fillId="0" borderId="0" xfId="0" applyFont="true" applyBorder="true" applyAlignment="true" applyProtection="true">
      <alignment horizontal="general" vertical="center" textRotation="0" wrapText="false" indent="0" shrinkToFit="false"/>
      <protection locked="true" hidden="false"/>
    </xf>
    <xf numFmtId="164" fontId="7" fillId="15" borderId="16" xfId="0" applyFont="true" applyBorder="true" applyAlignment="true" applyProtection="true">
      <alignment horizontal="center" vertical="center" textRotation="0" wrapText="true" indent="0" shrinkToFit="false"/>
      <protection locked="true" hidden="false"/>
    </xf>
    <xf numFmtId="164" fontId="31" fillId="15" borderId="16" xfId="0" applyFont="true" applyBorder="true" applyAlignment="true" applyProtection="true">
      <alignment horizontal="left" vertical="center" textRotation="0" wrapText="true" indent="0" shrinkToFit="false"/>
      <protection locked="true" hidden="false"/>
    </xf>
    <xf numFmtId="164" fontId="31" fillId="15" borderId="17" xfId="0" applyFont="true" applyBorder="true" applyAlignment="true" applyProtection="true">
      <alignment horizontal="left" vertical="center" textRotation="0" wrapText="true" indent="0" shrinkToFit="false"/>
      <protection locked="true" hidden="false"/>
    </xf>
    <xf numFmtId="165" fontId="33" fillId="0" borderId="18" xfId="0" applyFont="true" applyBorder="true" applyAlignment="true" applyProtection="true">
      <alignment horizontal="general" vertical="center" textRotation="0" wrapText="false" indent="0" shrinkToFit="false"/>
      <protection locked="true" hidden="false"/>
    </xf>
    <xf numFmtId="172" fontId="7" fillId="0" borderId="14" xfId="0" applyFont="true" applyBorder="true" applyAlignment="true" applyProtection="true">
      <alignment horizontal="center" vertical="center" textRotation="0" wrapText="true" indent="0" shrinkToFit="false"/>
      <protection locked="true" hidden="false"/>
    </xf>
    <xf numFmtId="165" fontId="33" fillId="0" borderId="14" xfId="0" applyFont="true" applyBorder="true" applyAlignment="true" applyProtection="true">
      <alignment horizontal="center" vertical="center" textRotation="0" wrapText="true" indent="0" shrinkToFit="false"/>
      <protection locked="true" hidden="false"/>
    </xf>
    <xf numFmtId="164" fontId="7" fillId="13" borderId="14" xfId="0" applyFont="true" applyBorder="true" applyAlignment="true" applyProtection="true">
      <alignment horizontal="general" vertical="center" textRotation="0" wrapText="true" indent="0" shrinkToFit="false"/>
      <protection locked="false" hidden="false"/>
    </xf>
    <xf numFmtId="164" fontId="31" fillId="0" borderId="14" xfId="0" applyFont="true" applyBorder="true" applyAlignment="true" applyProtection="true">
      <alignment horizontal="left" vertical="center" textRotation="0" wrapText="true" indent="0" shrinkToFit="false"/>
      <protection locked="true" hidden="false"/>
    </xf>
    <xf numFmtId="165" fontId="53" fillId="0" borderId="19" xfId="0" applyFont="true" applyBorder="true" applyAlignment="true" applyProtection="true">
      <alignment horizontal="general" vertical="top" textRotation="0" wrapText="true" indent="0" shrinkToFit="false"/>
      <protection locked="true" hidden="false"/>
    </xf>
    <xf numFmtId="172" fontId="7" fillId="0" borderId="20" xfId="0" applyFont="true" applyBorder="true" applyAlignment="true" applyProtection="true">
      <alignment horizontal="center" vertical="center" textRotation="0" wrapText="true" indent="0" shrinkToFit="false"/>
      <protection locked="true" hidden="false"/>
    </xf>
    <xf numFmtId="165" fontId="33" fillId="0" borderId="20" xfId="0" applyFont="true" applyBorder="true" applyAlignment="true" applyProtection="true">
      <alignment horizontal="center" vertical="center" textRotation="0" wrapText="true" indent="0" shrinkToFit="false"/>
      <protection locked="true" hidden="false"/>
    </xf>
    <xf numFmtId="173" fontId="7" fillId="14" borderId="20" xfId="0" applyFont="true" applyBorder="true" applyAlignment="true" applyProtection="true">
      <alignment horizontal="left" vertical="center" textRotation="0" wrapText="true" indent="1" shrinkToFit="false"/>
      <protection locked="true" hidden="false"/>
    </xf>
    <xf numFmtId="164" fontId="7" fillId="12" borderId="20" xfId="0" applyFont="true" applyBorder="true" applyAlignment="true" applyProtection="true">
      <alignment horizontal="center" vertical="center" textRotation="0" wrapText="true" indent="0" shrinkToFit="false"/>
      <protection locked="true" hidden="false"/>
    </xf>
    <xf numFmtId="165" fontId="55" fillId="0" borderId="0" xfId="0" applyFont="true" applyBorder="true" applyAlignment="true" applyProtection="true">
      <alignment horizontal="general" vertical="center" textRotation="0" wrapText="true" indent="0" shrinkToFit="false"/>
      <protection locked="true" hidden="false"/>
    </xf>
    <xf numFmtId="164" fontId="33" fillId="0" borderId="0" xfId="0" applyFont="true" applyBorder="true" applyAlignment="true" applyProtection="true">
      <alignment horizontal="general" vertical="top" textRotation="0" wrapText="false" indent="0" shrinkToFit="false"/>
      <protection locked="true" hidden="false"/>
    </xf>
    <xf numFmtId="165" fontId="0" fillId="0" borderId="0" xfId="0" applyFont="true" applyBorder="true" applyAlignment="true" applyProtection="true">
      <alignment horizontal="general" vertical="center" textRotation="0" wrapText="true" indent="0" shrinkToFit="false"/>
      <protection locked="true" hidden="false"/>
    </xf>
    <xf numFmtId="165" fontId="53" fillId="0" borderId="0" xfId="0" applyFont="true" applyBorder="true" applyAlignment="true" applyProtection="true">
      <alignment horizontal="general" vertical="top" textRotation="0" wrapText="true" indent="0" shrinkToFit="false"/>
      <protection locked="true" hidden="false"/>
    </xf>
    <xf numFmtId="164" fontId="18" fillId="15" borderId="15" xfId="0" applyFont="true" applyBorder="true" applyAlignment="true" applyProtection="true">
      <alignment horizontal="right" vertical="center" textRotation="0" wrapText="true" indent="0" shrinkToFit="false"/>
      <protection locked="true" hidden="false"/>
    </xf>
    <xf numFmtId="164" fontId="18" fillId="15" borderId="12" xfId="0" applyFont="true" applyBorder="true" applyAlignment="true" applyProtection="true">
      <alignment horizontal="right" vertical="center" textRotation="0" wrapText="true" indent="0" shrinkToFit="false"/>
      <protection locked="true" hidden="false"/>
    </xf>
    <xf numFmtId="164" fontId="56" fillId="15" borderId="12" xfId="0" applyFont="true" applyBorder="true" applyAlignment="true" applyProtection="true">
      <alignment horizontal="left" vertical="center" textRotation="0" wrapText="false" indent="1" shrinkToFit="false"/>
      <protection locked="true" hidden="false"/>
    </xf>
    <xf numFmtId="164" fontId="0" fillId="15" borderId="12" xfId="0" applyFont="true" applyBorder="true" applyAlignment="true" applyProtection="true">
      <alignment horizontal="right" vertical="center" textRotation="0" wrapText="true" indent="0" shrinkToFit="false"/>
      <protection locked="true" hidden="false"/>
    </xf>
    <xf numFmtId="164" fontId="0" fillId="15" borderId="21" xfId="0" applyFont="true" applyBorder="true" applyAlignment="true" applyProtection="true">
      <alignment horizontal="right" vertical="center" textRotation="0" wrapText="true" indent="0" shrinkToFit="false"/>
      <protection locked="true" hidden="false"/>
    </xf>
    <xf numFmtId="165" fontId="33" fillId="0" borderId="14" xfId="0" applyFont="true" applyBorder="true" applyAlignment="true" applyProtection="true">
      <alignment horizontal="center" vertical="center" textRotation="0" wrapText="false" indent="0" shrinkToFit="false"/>
      <protection locked="true" hidden="false"/>
    </xf>
    <xf numFmtId="165" fontId="31" fillId="0" borderId="20" xfId="0" applyFont="true" applyBorder="true" applyAlignment="true" applyProtection="true">
      <alignment horizontal="center" vertical="center" textRotation="0" wrapText="true" indent="0" shrinkToFit="false"/>
      <protection locked="true" hidden="false"/>
    </xf>
    <xf numFmtId="164" fontId="7" fillId="15" borderId="15" xfId="0" applyFont="true" applyBorder="true" applyAlignment="true" applyProtection="true">
      <alignment horizontal="right" vertical="center" textRotation="0" wrapText="true" indent="0" shrinkToFit="false"/>
      <protection locked="true" hidden="false"/>
    </xf>
    <xf numFmtId="164" fontId="7" fillId="15" borderId="12" xfId="0" applyFont="true" applyBorder="true" applyAlignment="true" applyProtection="true">
      <alignment horizontal="right" vertical="center" textRotation="0" wrapText="true" indent="0" shrinkToFit="false"/>
      <protection locked="true" hidden="false"/>
    </xf>
    <xf numFmtId="164" fontId="56" fillId="15" borderId="12" xfId="0" applyFont="true" applyBorder="true" applyAlignment="true" applyProtection="true">
      <alignment horizontal="left" vertical="center" textRotation="0" wrapText="false" indent="0" shrinkToFit="false"/>
      <protection locked="true" hidden="false"/>
    </xf>
    <xf numFmtId="164" fontId="7" fillId="15" borderId="21" xfId="0" applyFont="true" applyBorder="true" applyAlignment="true" applyProtection="true">
      <alignment horizontal="right" vertical="center" textRotation="0" wrapText="true" indent="0" shrinkToFit="false"/>
      <protection locked="true" hidden="false"/>
    </xf>
    <xf numFmtId="165" fontId="7" fillId="0" borderId="22" xfId="0" applyFont="true" applyBorder="true" applyAlignment="true" applyProtection="true">
      <alignment horizontal="general" vertical="center" textRotation="0" wrapText="true" indent="0" shrinkToFit="false"/>
      <protection locked="true" hidden="false"/>
    </xf>
    <xf numFmtId="165" fontId="57" fillId="0" borderId="0" xfId="0" applyFont="true" applyBorder="true" applyAlignment="true" applyProtection="true">
      <alignment horizontal="general" vertical="center" textRotation="0" wrapText="true" indent="0" shrinkToFit="false"/>
      <protection locked="true" hidden="false"/>
    </xf>
    <xf numFmtId="165" fontId="58" fillId="0" borderId="0" xfId="0" applyFont="true" applyBorder="true" applyAlignment="true" applyProtection="true">
      <alignment horizontal="general" vertical="center" textRotation="0" wrapText="true" indent="0" shrinkToFit="false"/>
      <protection locked="true" hidden="false"/>
    </xf>
    <xf numFmtId="165" fontId="59" fillId="0" borderId="0" xfId="0" applyFont="true" applyBorder="true" applyAlignment="true" applyProtection="true">
      <alignment horizontal="center" vertical="center" textRotation="0" wrapText="true" indent="0" shrinkToFit="false"/>
      <protection locked="true" hidden="false"/>
    </xf>
    <xf numFmtId="164" fontId="0" fillId="0" borderId="0" xfId="63" applyFont="true" applyBorder="true" applyAlignment="true" applyProtection="true">
      <alignment horizontal="general" vertical="top" textRotation="0" wrapText="false" indent="0" shrinkToFit="false"/>
      <protection locked="true" hidden="false"/>
    </xf>
    <xf numFmtId="165" fontId="0" fillId="0" borderId="0" xfId="0" applyFont="true" applyBorder="true" applyAlignment="true" applyProtection="true">
      <alignment horizontal="general" vertical="center" textRotation="0" wrapText="false" indent="0" shrinkToFit="false"/>
      <protection locked="true" hidden="false"/>
    </xf>
    <xf numFmtId="172" fontId="7" fillId="0" borderId="16" xfId="0" applyFont="true" applyBorder="true" applyAlignment="true" applyProtection="true">
      <alignment horizontal="left" vertical="center" textRotation="0" wrapText="true" indent="1" shrinkToFit="false"/>
      <protection locked="true" hidden="false"/>
    </xf>
    <xf numFmtId="172" fontId="7" fillId="0" borderId="23" xfId="0" applyFont="true" applyBorder="true" applyAlignment="true" applyProtection="true">
      <alignment horizontal="left" vertical="center" textRotation="0" wrapText="false" indent="1" shrinkToFit="false"/>
      <protection locked="true" hidden="false"/>
    </xf>
    <xf numFmtId="165" fontId="60" fillId="0" borderId="0" xfId="0" applyFont="true" applyBorder="true" applyAlignment="true" applyProtection="true">
      <alignment horizontal="general" vertical="center" textRotation="0" wrapText="false" indent="0" shrinkToFit="false"/>
      <protection locked="true" hidden="false"/>
    </xf>
    <xf numFmtId="165" fontId="61" fillId="0" borderId="0" xfId="0" applyFont="true" applyBorder="true" applyAlignment="true" applyProtection="true">
      <alignment horizontal="general" vertical="center" textRotation="0" wrapText="false" indent="0" shrinkToFit="false"/>
      <protection locked="true" hidden="false"/>
    </xf>
    <xf numFmtId="165" fontId="62" fillId="0" borderId="0" xfId="0" applyFont="true" applyBorder="true" applyAlignment="true" applyProtection="true">
      <alignment horizontal="general" vertical="center" textRotation="0" wrapText="false" indent="0" shrinkToFit="false"/>
      <protection locked="true" hidden="false"/>
    </xf>
    <xf numFmtId="165" fontId="63" fillId="0" borderId="0" xfId="0" applyFont="true" applyBorder="true" applyAlignment="true" applyProtection="true">
      <alignment horizontal="general" vertical="center" textRotation="0" wrapText="false" indent="0" shrinkToFit="false"/>
      <protection locked="true" hidden="false"/>
    </xf>
    <xf numFmtId="172" fontId="0" fillId="0" borderId="0" xfId="0" applyFont="true" applyBorder="true" applyAlignment="true" applyProtection="true">
      <alignment horizontal="left" vertical="center" textRotation="0" wrapText="true" indent="2" shrinkToFit="false"/>
      <protection locked="true" hidden="false"/>
    </xf>
    <xf numFmtId="165" fontId="19" fillId="0" borderId="0" xfId="0" applyFont="true" applyBorder="true" applyAlignment="true" applyProtection="true">
      <alignment horizontal="general" vertical="center" textRotation="0" wrapText="false" indent="0" shrinkToFit="false"/>
      <protection locked="true" hidden="false"/>
    </xf>
    <xf numFmtId="165" fontId="0" fillId="0" borderId="24" xfId="0" applyFont="true" applyBorder="true" applyAlignment="true" applyProtection="true">
      <alignment horizontal="center" vertical="center" textRotation="0" wrapText="true" indent="0" shrinkToFit="false"/>
      <protection locked="true" hidden="false"/>
    </xf>
    <xf numFmtId="165" fontId="0" fillId="0" borderId="14" xfId="0" applyFont="true" applyBorder="true" applyAlignment="true" applyProtection="true">
      <alignment horizontal="center" vertical="center" textRotation="0" wrapText="true" indent="0" shrinkToFit="false"/>
      <protection locked="true" hidden="false"/>
    </xf>
    <xf numFmtId="165" fontId="64" fillId="0" borderId="0" xfId="0" applyFont="true" applyBorder="true" applyAlignment="true" applyProtection="true">
      <alignment horizontal="center" vertical="center" textRotation="0" wrapText="true" indent="0" shrinkToFit="false"/>
      <protection locked="true" hidden="false"/>
    </xf>
    <xf numFmtId="165" fontId="7" fillId="0" borderId="9" xfId="0" applyFont="true" applyBorder="true" applyAlignment="true" applyProtection="true">
      <alignment horizontal="center" vertical="center" textRotation="0" wrapText="true" indent="0" shrinkToFit="false"/>
      <protection locked="true" hidden="false"/>
    </xf>
    <xf numFmtId="165" fontId="31" fillId="0" borderId="18" xfId="0" applyFont="true" applyBorder="true" applyAlignment="true" applyProtection="true">
      <alignment horizontal="general" vertical="center" textRotation="0" wrapText="false" indent="0" shrinkToFit="false"/>
      <protection locked="true" hidden="false"/>
    </xf>
    <xf numFmtId="164" fontId="53" fillId="0" borderId="0" xfId="0" applyFont="true" applyBorder="true" applyAlignment="true" applyProtection="true">
      <alignment horizontal="center" vertical="center" textRotation="0" wrapText="true" indent="0" shrinkToFit="false"/>
      <protection locked="true" hidden="false"/>
    </xf>
    <xf numFmtId="164" fontId="53" fillId="0" borderId="14" xfId="0" applyFont="true" applyBorder="true" applyAlignment="true" applyProtection="true">
      <alignment horizontal="center" vertical="center" textRotation="0" wrapText="true" indent="0" shrinkToFit="false"/>
      <protection locked="true" hidden="false"/>
    </xf>
    <xf numFmtId="164" fontId="53" fillId="0" borderId="25" xfId="0" applyFont="true" applyBorder="true" applyAlignment="true" applyProtection="true">
      <alignment horizontal="center" vertical="center" textRotation="0" wrapText="true" indent="0" shrinkToFit="false"/>
      <protection locked="true" hidden="false"/>
    </xf>
    <xf numFmtId="165" fontId="33" fillId="0" borderId="0" xfId="0" applyFont="true" applyBorder="true" applyAlignment="true" applyProtection="true">
      <alignment horizontal="center" vertical="center" textRotation="0" wrapText="false" indent="0" shrinkToFit="false"/>
      <protection locked="true" hidden="false"/>
    </xf>
    <xf numFmtId="165" fontId="7" fillId="15" borderId="15" xfId="0" applyFont="true" applyBorder="true" applyAlignment="true" applyProtection="true">
      <alignment horizontal="center" vertical="center" textRotation="0" wrapText="true" indent="0" shrinkToFit="false"/>
      <protection locked="true" hidden="false"/>
    </xf>
    <xf numFmtId="164" fontId="7" fillId="15" borderId="12" xfId="0" applyFont="true" applyBorder="true" applyAlignment="true" applyProtection="true">
      <alignment horizontal="center" vertical="center" textRotation="0" wrapText="true" indent="0" shrinkToFit="false"/>
      <protection locked="true" hidden="false"/>
    </xf>
    <xf numFmtId="164" fontId="7" fillId="15" borderId="26" xfId="0" applyFont="true" applyBorder="true" applyAlignment="true" applyProtection="true">
      <alignment horizontal="center" vertical="center" textRotation="0" wrapText="true" indent="0" shrinkToFit="false"/>
      <protection locked="true" hidden="false"/>
    </xf>
    <xf numFmtId="164" fontId="0" fillId="15" borderId="12" xfId="0" applyFont="true" applyBorder="true" applyAlignment="true" applyProtection="true">
      <alignment horizontal="left" vertical="center" textRotation="0" wrapText="false" indent="0" shrinkToFit="false"/>
      <protection locked="true" hidden="false"/>
    </xf>
    <xf numFmtId="165" fontId="0" fillId="15" borderId="21"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true" indent="0" shrinkToFit="false"/>
      <protection locked="true" hidden="false"/>
    </xf>
    <xf numFmtId="165" fontId="7" fillId="14" borderId="14" xfId="0" applyFont="true" applyBorder="true" applyAlignment="true" applyProtection="true">
      <alignment horizontal="left" vertical="center" textRotation="0" wrapText="true" indent="2" shrinkToFit="false"/>
      <protection locked="true" hidden="false"/>
    </xf>
    <xf numFmtId="164" fontId="7" fillId="14" borderId="20" xfId="0" applyFont="true" applyBorder="true" applyAlignment="true" applyProtection="true">
      <alignment horizontal="center" vertical="center" textRotation="0" wrapText="true" indent="0" shrinkToFit="false"/>
      <protection locked="true" hidden="false"/>
    </xf>
    <xf numFmtId="173" fontId="65" fillId="0" borderId="25" xfId="0" applyFont="true" applyBorder="true" applyAlignment="true" applyProtection="true">
      <alignment horizontal="center" vertical="center" textRotation="0" wrapText="true" indent="0" shrinkToFit="false"/>
      <protection locked="true" hidden="false"/>
    </xf>
    <xf numFmtId="165" fontId="7" fillId="0" borderId="25" xfId="0" applyFont="true" applyBorder="true" applyAlignment="true" applyProtection="true">
      <alignment horizontal="center" vertical="center" textRotation="0" wrapText="true" indent="0" shrinkToFit="false"/>
      <protection locked="true" hidden="false"/>
    </xf>
    <xf numFmtId="172" fontId="7" fillId="14" borderId="14" xfId="0" applyFont="true" applyBorder="true" applyAlignment="true" applyProtection="true">
      <alignment horizontal="left" vertical="center" textRotation="0" wrapText="true" indent="1" shrinkToFit="false"/>
      <protection locked="false" hidden="false"/>
    </xf>
    <xf numFmtId="164" fontId="7" fillId="14" borderId="14" xfId="0" applyFont="true" applyBorder="true" applyAlignment="true" applyProtection="true">
      <alignment horizontal="center" vertical="center" textRotation="0" wrapText="true" indent="0" shrinkToFit="false"/>
      <protection locked="true" hidden="false"/>
    </xf>
    <xf numFmtId="164" fontId="7" fillId="0" borderId="27" xfId="0" applyFont="true" applyBorder="true" applyAlignment="true" applyProtection="true">
      <alignment horizontal="center" vertical="center" textRotation="0" wrapText="true" indent="0" shrinkToFit="false"/>
      <protection locked="true" hidden="false"/>
    </xf>
    <xf numFmtId="164" fontId="0" fillId="0" borderId="14" xfId="0" applyFont="true" applyBorder="true" applyAlignment="true" applyProtection="true">
      <alignment horizontal="left" vertical="center" textRotation="0" wrapText="true" indent="1" shrinkToFit="false"/>
      <protection locked="true" hidden="false"/>
    </xf>
    <xf numFmtId="164" fontId="56" fillId="15" borderId="21" xfId="0" applyFont="true" applyBorder="true" applyAlignment="true" applyProtection="true">
      <alignment horizontal="left" vertical="center" textRotation="0" wrapText="false" indent="1" shrinkToFit="false"/>
      <protection locked="true" hidden="false"/>
    </xf>
    <xf numFmtId="164" fontId="18" fillId="15" borderId="28" xfId="0" applyFont="true" applyBorder="true" applyAlignment="true" applyProtection="true">
      <alignment horizontal="right" vertical="center" textRotation="0" wrapText="true" indent="0" shrinkToFit="false"/>
      <protection locked="true" hidden="false"/>
    </xf>
    <xf numFmtId="164" fontId="18" fillId="15" borderId="29" xfId="0" applyFont="true" applyBorder="true" applyAlignment="true" applyProtection="true">
      <alignment horizontal="right" vertical="center" textRotation="0" wrapText="true" indent="0" shrinkToFit="false"/>
      <protection locked="true" hidden="false"/>
    </xf>
    <xf numFmtId="164" fontId="18" fillId="15" borderId="21" xfId="0" applyFont="true" applyBorder="true" applyAlignment="true" applyProtection="true">
      <alignment horizontal="right" vertical="center" textRotation="0" wrapText="true" indent="0" shrinkToFit="false"/>
      <protection locked="true" hidden="false"/>
    </xf>
    <xf numFmtId="165" fontId="0" fillId="7" borderId="0" xfId="0" applyFont="true" applyBorder="true" applyAlignment="true" applyProtection="true">
      <alignment horizontal="general" vertical="top" textRotation="0" wrapText="false" indent="0" shrinkToFit="false"/>
      <protection locked="true" hidden="false"/>
    </xf>
    <xf numFmtId="164" fontId="56" fillId="15" borderId="12" xfId="0" applyFont="true" applyBorder="true" applyAlignment="true" applyProtection="true">
      <alignment horizontal="left" vertical="center" textRotation="0" wrapText="false" indent="2" shrinkToFit="false"/>
      <protection locked="true" hidden="false"/>
    </xf>
    <xf numFmtId="172" fontId="7" fillId="0" borderId="16" xfId="0" applyFont="true" applyBorder="true" applyAlignment="true" applyProtection="true">
      <alignment horizontal="left" vertical="top" textRotation="0" wrapText="true" indent="1" shrinkToFit="false"/>
      <protection locked="true" hidden="false"/>
    </xf>
    <xf numFmtId="165" fontId="66" fillId="0" borderId="0" xfId="0" applyFont="true" applyBorder="true" applyAlignment="true" applyProtection="true">
      <alignment horizontal="general" vertical="center" textRotation="0" wrapText="true" indent="0" shrinkToFit="false"/>
      <protection locked="true" hidden="false"/>
    </xf>
    <xf numFmtId="165" fontId="6" fillId="0" borderId="0" xfId="0" applyFont="true" applyBorder="true" applyAlignment="true" applyProtection="true">
      <alignment horizontal="general" vertical="center" textRotation="0" wrapText="true" indent="0" shrinkToFit="false"/>
      <protection locked="true" hidden="false"/>
    </xf>
    <xf numFmtId="165" fontId="67" fillId="0" borderId="0" xfId="0" applyFont="true" applyBorder="true" applyAlignment="true" applyProtection="true">
      <alignment horizontal="general" vertical="center" textRotation="0" wrapText="false" indent="0" shrinkToFit="false"/>
      <protection locked="true" hidden="false"/>
    </xf>
    <xf numFmtId="165" fontId="49" fillId="0" borderId="0" xfId="0" applyFont="true" applyBorder="true" applyAlignment="true" applyProtection="true">
      <alignment horizontal="left" vertical="center" textRotation="0" wrapText="true" indent="1" shrinkToFit="false"/>
      <protection locked="true" hidden="false"/>
    </xf>
    <xf numFmtId="164" fontId="33" fillId="7" borderId="0" xfId="0" applyFont="true" applyBorder="true" applyAlignment="true" applyProtection="true">
      <alignment horizontal="center" vertical="center" textRotation="0" wrapText="true" indent="0" shrinkToFit="false"/>
      <protection locked="true" hidden="false"/>
    </xf>
    <xf numFmtId="164" fontId="33" fillId="7" borderId="23" xfId="0" applyFont="true" applyBorder="true" applyAlignment="true" applyProtection="true">
      <alignment horizontal="center" vertical="center" textRotation="0" wrapText="true" indent="0" shrinkToFit="false"/>
      <protection locked="true" hidden="false"/>
    </xf>
    <xf numFmtId="165" fontId="0" fillId="0" borderId="14" xfId="0" applyFont="true" applyBorder="true" applyAlignment="true" applyProtection="true">
      <alignment horizontal="center" vertical="center" textRotation="0" wrapText="false" indent="0" shrinkToFit="false"/>
      <protection locked="true" hidden="false"/>
    </xf>
    <xf numFmtId="164" fontId="0" fillId="0" borderId="14" xfId="0" applyFont="true" applyBorder="true" applyAlignment="true" applyProtection="true">
      <alignment horizontal="center" vertical="center" textRotation="0" wrapText="false" indent="0" shrinkToFit="false"/>
      <protection locked="true" hidden="false"/>
    </xf>
    <xf numFmtId="164" fontId="0" fillId="0" borderId="14"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true" applyProtection="true">
      <alignment horizontal="general" vertical="center" textRotation="0" wrapText="false" indent="0" shrinkToFit="false"/>
      <protection locked="true" hidden="false"/>
    </xf>
    <xf numFmtId="165" fontId="0" fillId="0" borderId="14" xfId="0" applyFont="true" applyBorder="true" applyAlignment="true" applyProtection="true">
      <alignment horizontal="center" vertical="top" textRotation="0" wrapText="false" indent="0" shrinkToFit="false"/>
      <protection locked="true" hidden="false"/>
    </xf>
    <xf numFmtId="165" fontId="7" fillId="0" borderId="14" xfId="0" applyFont="true" applyBorder="true" applyAlignment="true" applyProtection="true">
      <alignment horizontal="left" vertical="top" textRotation="0" wrapText="true" indent="0" shrinkToFit="false"/>
      <protection locked="true" hidden="false"/>
    </xf>
    <xf numFmtId="165" fontId="7" fillId="14" borderId="14" xfId="0" applyFont="true" applyBorder="true" applyAlignment="true" applyProtection="true">
      <alignment horizontal="center" vertical="top" textRotation="0" wrapText="true" indent="0" shrinkToFit="false"/>
      <protection locked="true" hidden="false"/>
    </xf>
    <xf numFmtId="165" fontId="0" fillId="0" borderId="24" xfId="0" applyFont="true" applyBorder="true" applyAlignment="true" applyProtection="true">
      <alignment horizontal="center" vertical="center" textRotation="0" wrapText="false" indent="0" shrinkToFit="false"/>
      <protection locked="true" hidden="false"/>
    </xf>
    <xf numFmtId="165" fontId="0" fillId="0" borderId="16" xfId="0" applyFont="true" applyBorder="true" applyAlignment="true" applyProtection="true">
      <alignment horizontal="center" vertical="center" textRotation="0" wrapText="false" indent="0" shrinkToFit="false"/>
      <protection locked="true" hidden="false"/>
    </xf>
    <xf numFmtId="164" fontId="7" fillId="0" borderId="16" xfId="0" applyFont="true" applyBorder="true" applyAlignment="true" applyProtection="true">
      <alignment horizontal="left" vertical="center" textRotation="0" wrapText="true" indent="0" shrinkToFit="false"/>
      <protection locked="true" hidden="false"/>
    </xf>
    <xf numFmtId="164" fontId="7" fillId="0" borderId="16" xfId="0" applyFont="true" applyBorder="true" applyAlignment="true" applyProtection="true">
      <alignment horizontal="center" vertical="center" textRotation="0" wrapText="true" indent="0" shrinkToFit="false"/>
      <protection locked="true" hidden="false"/>
    </xf>
    <xf numFmtId="165" fontId="0" fillId="0" borderId="16" xfId="0" applyFont="true" applyBorder="true" applyAlignment="true" applyProtection="true">
      <alignment horizontal="left" vertical="center" textRotation="0" wrapText="true" indent="0" shrinkToFit="false"/>
      <protection locked="true" hidden="false"/>
    </xf>
    <xf numFmtId="164" fontId="0" fillId="0" borderId="16" xfId="0" applyFont="true" applyBorder="true" applyAlignment="true" applyProtection="true">
      <alignment horizontal="left" vertical="center" textRotation="0" wrapText="true" indent="0" shrinkToFit="false"/>
      <protection locked="true" hidden="false"/>
    </xf>
    <xf numFmtId="164" fontId="7" fillId="0" borderId="17" xfId="0" applyFont="true" applyBorder="true" applyAlignment="true" applyProtection="true">
      <alignment horizontal="left" vertical="center" textRotation="0" wrapText="true" indent="0" shrinkToFit="false"/>
      <protection locked="true" hidden="false"/>
    </xf>
    <xf numFmtId="165" fontId="7" fillId="0" borderId="0" xfId="0" applyFont="true" applyBorder="true" applyAlignment="true" applyProtection="true">
      <alignment horizontal="left" vertical="center" textRotation="0" wrapText="false" indent="1" shrinkToFit="false"/>
      <protection locked="true" hidden="false"/>
    </xf>
    <xf numFmtId="165" fontId="56" fillId="0" borderId="0" xfId="0" applyFont="true" applyBorder="true" applyAlignment="true" applyProtection="true">
      <alignment horizontal="left" vertical="center" textRotation="0" wrapText="false" indent="0" shrinkToFit="false"/>
      <protection locked="true" hidden="false"/>
    </xf>
    <xf numFmtId="165" fontId="56" fillId="0" borderId="19" xfId="0" applyFont="true" applyBorder="true" applyAlignment="true" applyProtection="true">
      <alignment horizontal="left" vertical="center" textRotation="0" wrapText="false" indent="0" shrinkToFit="false"/>
      <protection locked="true" hidden="false"/>
    </xf>
    <xf numFmtId="165" fontId="56" fillId="0" borderId="30" xfId="0" applyFont="true" applyBorder="true" applyAlignment="true" applyProtection="true">
      <alignment horizontal="left" vertical="center" textRotation="0" wrapText="false" indent="0" shrinkToFit="false"/>
      <protection locked="true" hidden="false"/>
    </xf>
    <xf numFmtId="165" fontId="56" fillId="0" borderId="23" xfId="0" applyFont="true" applyBorder="true" applyAlignment="true" applyProtection="true">
      <alignment horizontal="left" vertical="center" textRotation="0" wrapText="false" indent="0" shrinkToFit="false"/>
      <protection locked="true" hidden="false"/>
    </xf>
    <xf numFmtId="165" fontId="0" fillId="0" borderId="23" xfId="0" applyFont="true" applyBorder="true" applyAlignment="true" applyProtection="true">
      <alignment horizontal="general" vertical="center" textRotation="0" wrapText="false" indent="0" shrinkToFit="false"/>
      <protection locked="true" hidden="false"/>
    </xf>
    <xf numFmtId="165" fontId="56" fillId="0" borderId="31" xfId="0" applyFont="true" applyBorder="true" applyAlignment="true" applyProtection="true">
      <alignment horizontal="left" vertical="center"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1" shrinkToFit="false"/>
      <protection locked="true" hidden="false"/>
    </xf>
    <xf numFmtId="165" fontId="0" fillId="0" borderId="0" xfId="0" applyFont="true" applyBorder="true" applyAlignment="true" applyProtection="true">
      <alignment horizontal="left" vertical="top" textRotation="0" wrapText="true" indent="0" shrinkToFit="false"/>
      <protection locked="true" hidden="false"/>
    </xf>
    <xf numFmtId="165" fontId="0" fillId="0" borderId="0" xfId="0" applyFont="true" applyBorder="true" applyAlignment="true" applyProtection="true">
      <alignment horizontal="left" vertical="top" textRotation="0" wrapText="true" indent="1" shrinkToFit="false"/>
      <protection locked="true" hidden="false"/>
    </xf>
    <xf numFmtId="165" fontId="0" fillId="0" borderId="0" xfId="0" applyFont="true" applyBorder="true" applyAlignment="true" applyProtection="true">
      <alignment horizontal="general" vertical="top" textRotation="0" wrapText="true" indent="0" shrinkToFit="false"/>
      <protection locked="true" hidden="false"/>
    </xf>
    <xf numFmtId="172" fontId="7" fillId="14" borderId="14" xfId="0" applyFont="true" applyBorder="true" applyAlignment="true" applyProtection="true">
      <alignment horizontal="left" vertical="top" textRotation="0" wrapText="true" indent="0" shrinkToFit="false"/>
      <protection locked="true" hidden="false"/>
    </xf>
    <xf numFmtId="164" fontId="7" fillId="10" borderId="14" xfId="0" applyFont="true" applyBorder="true" applyAlignment="true" applyProtection="true">
      <alignment horizontal="left" vertical="center" textRotation="0" wrapText="true" indent="0" shrinkToFit="false"/>
      <protection locked="false" hidden="false"/>
    </xf>
    <xf numFmtId="172" fontId="0" fillId="14" borderId="14" xfId="0" applyFont="true" applyBorder="true" applyAlignment="true" applyProtection="true">
      <alignment horizontal="left" vertical="center" textRotation="0" wrapText="true" indent="0" shrinkToFit="false"/>
      <protection locked="false" hidden="false"/>
    </xf>
    <xf numFmtId="164" fontId="0" fillId="7" borderId="14" xfId="0" applyFont="true" applyBorder="true" applyAlignment="true" applyProtection="true">
      <alignment horizontal="left" vertical="center" textRotation="0" wrapText="true" indent="0" shrinkToFit="false"/>
      <protection locked="true" hidden="false"/>
    </xf>
    <xf numFmtId="164" fontId="33" fillId="0" borderId="14" xfId="0" applyFont="true" applyBorder="true" applyAlignment="true" applyProtection="true">
      <alignment horizontal="center" vertical="center" textRotation="0" wrapText="true" indent="0" shrinkToFit="false"/>
      <protection locked="true" hidden="false"/>
    </xf>
    <xf numFmtId="164" fontId="33" fillId="0" borderId="15" xfId="0" applyFont="true" applyBorder="true" applyAlignment="true" applyProtection="true">
      <alignment horizontal="left" vertical="center" textRotation="0" wrapText="true" indent="0" shrinkToFit="false"/>
      <protection locked="true" hidden="false"/>
    </xf>
    <xf numFmtId="165" fontId="33" fillId="0" borderId="15" xfId="0" applyFont="true" applyBorder="true" applyAlignment="true" applyProtection="true">
      <alignment horizontal="left" vertical="center" textRotation="0" wrapText="false" indent="0" shrinkToFit="false"/>
      <protection locked="true" hidden="false"/>
    </xf>
    <xf numFmtId="165" fontId="33" fillId="0" borderId="12" xfId="0" applyFont="true" applyBorder="true" applyAlignment="true" applyProtection="true">
      <alignment horizontal="left" vertical="center" textRotation="0" wrapText="false" indent="0" shrinkToFit="false"/>
      <protection locked="true" hidden="false"/>
    </xf>
    <xf numFmtId="165" fontId="56" fillId="15" borderId="15" xfId="0" applyFont="true" applyBorder="true" applyAlignment="true" applyProtection="true">
      <alignment horizontal="left" vertical="center" textRotation="0" wrapText="false" indent="0" shrinkToFit="false"/>
      <protection locked="true" hidden="false"/>
    </xf>
    <xf numFmtId="165" fontId="56" fillId="15" borderId="12" xfId="0" applyFont="true" applyBorder="true" applyAlignment="true" applyProtection="true">
      <alignment horizontal="left" vertical="center" textRotation="0" wrapText="false" indent="0" shrinkToFit="false"/>
      <protection locked="true" hidden="false"/>
    </xf>
    <xf numFmtId="165" fontId="0" fillId="15" borderId="12" xfId="0" applyFont="true" applyBorder="true" applyAlignment="true" applyProtection="true">
      <alignment horizontal="general" vertical="center" textRotation="0" wrapText="false" indent="0" shrinkToFit="false"/>
      <protection locked="true" hidden="false"/>
    </xf>
    <xf numFmtId="165" fontId="56" fillId="15" borderId="31" xfId="0" applyFont="true" applyBorder="true" applyAlignment="true" applyProtection="true">
      <alignment horizontal="left" vertical="center" textRotation="0" wrapText="false" indent="0" shrinkToFit="false"/>
      <protection locked="true" hidden="false"/>
    </xf>
    <xf numFmtId="165" fontId="56" fillId="15" borderId="21" xfId="0" applyFont="true" applyBorder="true" applyAlignment="true" applyProtection="true">
      <alignment horizontal="left" vertical="center" textRotation="0" wrapText="false" indent="0" shrinkToFit="false"/>
      <protection locked="true" hidden="false"/>
    </xf>
    <xf numFmtId="164" fontId="33" fillId="0" borderId="0" xfId="0" applyFont="true" applyBorder="true" applyAlignment="true" applyProtection="true">
      <alignment horizontal="center" vertical="center" textRotation="0" wrapText="false" indent="0" shrinkToFit="false"/>
      <protection locked="true" hidden="false"/>
    </xf>
    <xf numFmtId="164" fontId="31" fillId="0" borderId="0" xfId="0" applyFont="true" applyBorder="true" applyAlignment="true" applyProtection="true">
      <alignment horizontal="center" vertical="center" textRotation="0" wrapText="false" indent="0" shrinkToFit="false"/>
      <protection locked="true" hidden="false"/>
    </xf>
    <xf numFmtId="164" fontId="67" fillId="0" borderId="0" xfId="0" applyFont="true" applyBorder="true" applyAlignment="true" applyProtection="true">
      <alignment horizontal="general" vertical="top" textRotation="0" wrapText="false" indent="0" shrinkToFit="false"/>
      <protection locked="true" hidden="false"/>
    </xf>
    <xf numFmtId="165" fontId="7" fillId="0" borderId="16" xfId="0" applyFont="true" applyBorder="true" applyAlignment="true" applyProtection="true">
      <alignment horizontal="left" vertical="center" textRotation="0" wrapText="true" indent="1" shrinkToFit="false"/>
      <protection locked="true" hidden="false"/>
    </xf>
    <xf numFmtId="165" fontId="6" fillId="0" borderId="0" xfId="0" applyFont="true" applyBorder="true" applyAlignment="true" applyProtection="true">
      <alignment horizontal="left" vertical="center" textRotation="0" wrapText="true" indent="1" shrinkToFit="false"/>
      <protection locked="true" hidden="false"/>
    </xf>
    <xf numFmtId="165" fontId="52" fillId="0" borderId="0" xfId="0" applyFont="true" applyBorder="true" applyAlignment="true" applyProtection="true">
      <alignment horizontal="general" vertical="center" textRotation="0" wrapText="false" indent="0" shrinkToFit="false"/>
      <protection locked="true" hidden="false"/>
    </xf>
    <xf numFmtId="165" fontId="68" fillId="0" borderId="0" xfId="0" applyFont="true" applyBorder="true" applyAlignment="true" applyProtection="true">
      <alignment horizontal="general" vertical="center" textRotation="0" wrapText="true" indent="0" shrinkToFit="false"/>
      <protection locked="true" hidden="false"/>
    </xf>
    <xf numFmtId="165" fontId="69" fillId="0" borderId="0" xfId="0" applyFont="true" applyBorder="true" applyAlignment="true" applyProtection="true">
      <alignment horizontal="general" vertical="center" textRotation="0" wrapText="true" indent="0" shrinkToFit="false"/>
      <protection locked="true" hidden="false"/>
    </xf>
    <xf numFmtId="172" fontId="7" fillId="0" borderId="23" xfId="0" applyFont="true" applyBorder="true" applyAlignment="true" applyProtection="true">
      <alignment horizontal="left" vertical="center" textRotation="0" wrapText="true" indent="1" shrinkToFit="false"/>
      <protection locked="true" hidden="false"/>
    </xf>
    <xf numFmtId="165" fontId="7" fillId="0" borderId="27" xfId="0" applyFont="true" applyBorder="true" applyAlignment="true" applyProtection="true">
      <alignment horizontal="center" vertical="center" textRotation="0" wrapText="true" indent="0" shrinkToFit="false"/>
      <protection locked="true" hidden="false"/>
    </xf>
    <xf numFmtId="165" fontId="7" fillId="0" borderId="32" xfId="0" applyFont="true" applyBorder="true" applyAlignment="true" applyProtection="true">
      <alignment horizontal="center" vertical="center" textRotation="0" wrapText="true" indent="0" shrinkToFit="false"/>
      <protection locked="true" hidden="false"/>
    </xf>
    <xf numFmtId="165" fontId="7" fillId="0" borderId="24" xfId="0" applyFont="true" applyBorder="true" applyAlignment="true" applyProtection="true">
      <alignment horizontal="center" vertical="center" textRotation="0" wrapText="true" indent="0" shrinkToFit="false"/>
      <protection locked="true" hidden="false"/>
    </xf>
    <xf numFmtId="165" fontId="7" fillId="0" borderId="15" xfId="0" applyFont="true" applyBorder="true" applyAlignment="true" applyProtection="true">
      <alignment horizontal="center" vertical="center" textRotation="0" wrapText="true" indent="0" shrinkToFit="false"/>
      <protection locked="true" hidden="false"/>
    </xf>
    <xf numFmtId="165" fontId="7" fillId="0" borderId="18" xfId="0" applyFont="true" applyBorder="true" applyAlignment="true" applyProtection="true">
      <alignment horizontal="center" vertical="center" textRotation="0" wrapText="true" indent="0" shrinkToFit="false"/>
      <protection locked="true" hidden="false"/>
    </xf>
    <xf numFmtId="164" fontId="7" fillId="0" borderId="27" xfId="0" applyFont="true" applyBorder="true" applyAlignment="true" applyProtection="true">
      <alignment horizontal="center" vertical="center" textRotation="0" wrapText="false" indent="0" shrinkToFit="false"/>
      <protection locked="true" hidden="false"/>
    </xf>
    <xf numFmtId="165" fontId="7" fillId="0" borderId="27" xfId="0" applyFont="true" applyBorder="true" applyAlignment="true" applyProtection="true">
      <alignment horizontal="left" vertical="center" textRotation="0" wrapText="true" indent="0" shrinkToFit="false"/>
      <protection locked="true" hidden="false"/>
    </xf>
    <xf numFmtId="164" fontId="7" fillId="0" borderId="24" xfId="0" applyFont="true" applyBorder="true" applyAlignment="true" applyProtection="true">
      <alignment horizontal="general" vertical="center" textRotation="0" wrapText="true" indent="0" shrinkToFit="false"/>
      <protection locked="true" hidden="false"/>
    </xf>
    <xf numFmtId="165" fontId="7" fillId="0" borderId="16" xfId="0" applyFont="true" applyBorder="true" applyAlignment="true" applyProtection="true">
      <alignment horizontal="center" vertical="center" textRotation="0" wrapText="false" indent="0" shrinkToFit="false"/>
      <protection locked="true" hidden="false"/>
    </xf>
    <xf numFmtId="164" fontId="7" fillId="0" borderId="16" xfId="0" applyFont="true" applyBorder="true" applyAlignment="true" applyProtection="true">
      <alignment horizontal="general" vertical="center" textRotation="0" wrapText="true" indent="0" shrinkToFit="false"/>
      <protection locked="true" hidden="false"/>
    </xf>
    <xf numFmtId="164" fontId="47" fillId="0" borderId="16" xfId="0" applyFont="true" applyBorder="true" applyAlignment="true" applyProtection="true">
      <alignment horizontal="general" vertical="center" textRotation="0" wrapText="true" indent="0" shrinkToFit="false"/>
      <protection locked="true" hidden="false"/>
    </xf>
    <xf numFmtId="165" fontId="7" fillId="0" borderId="16" xfId="0" applyFont="true" applyBorder="true" applyAlignment="true" applyProtection="true">
      <alignment horizontal="left" vertical="center" textRotation="0" wrapText="true" indent="0" shrinkToFit="false"/>
      <protection locked="true" hidden="false"/>
    </xf>
    <xf numFmtId="164" fontId="7" fillId="0" borderId="18"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true" applyAlignment="true" applyProtection="true">
      <alignment horizontal="left" vertical="center" textRotation="0" wrapText="true" indent="0" shrinkToFit="false"/>
      <protection locked="true" hidden="false"/>
    </xf>
    <xf numFmtId="164" fontId="47" fillId="0" borderId="0" xfId="0" applyFont="true" applyBorder="true" applyAlignment="true" applyProtection="true">
      <alignment horizontal="general" vertical="center" textRotation="0" wrapText="true" indent="0" shrinkToFit="false"/>
      <protection locked="true" hidden="false"/>
    </xf>
    <xf numFmtId="164" fontId="47" fillId="0" borderId="0" xfId="0" applyFont="true" applyBorder="true" applyAlignment="true" applyProtection="true">
      <alignment horizontal="center" vertical="center" textRotation="0" wrapText="true" indent="0" shrinkToFit="false"/>
      <protection locked="true" hidden="false"/>
    </xf>
    <xf numFmtId="165" fontId="56" fillId="0" borderId="0" xfId="0" applyFont="true" applyBorder="true" applyAlignment="true" applyProtection="true">
      <alignment horizontal="general" vertical="center" textRotation="0" wrapText="false" indent="0" shrinkToFit="false"/>
      <protection locked="true" hidden="false"/>
    </xf>
    <xf numFmtId="165" fontId="56" fillId="0" borderId="18" xfId="0" applyFont="true" applyBorder="true" applyAlignment="true" applyProtection="true">
      <alignment horizontal="left" vertical="center" textRotation="0" wrapText="false" indent="0" shrinkToFit="false"/>
      <protection locked="true" hidden="false"/>
    </xf>
    <xf numFmtId="164" fontId="67" fillId="0" borderId="30" xfId="0" applyFont="true" applyBorder="true" applyAlignment="true" applyProtection="true">
      <alignment horizontal="general" vertical="top" textRotation="0" wrapText="false" indent="0" shrinkToFit="false"/>
      <protection locked="true" hidden="false"/>
    </xf>
    <xf numFmtId="164" fontId="67" fillId="0" borderId="23" xfId="0" applyFont="true" applyBorder="true" applyAlignment="true" applyProtection="true">
      <alignment horizontal="general" vertical="top"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5" fontId="7" fillId="0" borderId="14" xfId="0" applyFont="true" applyBorder="true" applyAlignment="true" applyProtection="true">
      <alignment horizontal="left" vertical="center" textRotation="0" wrapText="true" indent="0" shrinkToFit="false"/>
      <protection locked="true" hidden="false"/>
    </xf>
    <xf numFmtId="165" fontId="7" fillId="7" borderId="0" xfId="0" applyFont="true" applyBorder="true" applyAlignment="true" applyProtection="true">
      <alignment horizontal="general" vertical="bottom" textRotation="0" wrapText="false" indent="0" shrinkToFit="false"/>
      <protection locked="true" hidden="false"/>
    </xf>
    <xf numFmtId="165" fontId="33" fillId="7" borderId="0" xfId="0" applyFont="true" applyBorder="true" applyAlignment="true" applyProtection="true">
      <alignment horizontal="general" vertical="bottom" textRotation="0" wrapText="false" indent="0" shrinkToFit="false"/>
      <protection locked="true" hidden="false"/>
    </xf>
    <xf numFmtId="165" fontId="0" fillId="7" borderId="0" xfId="0" applyFont="true" applyBorder="true" applyAlignment="true" applyProtection="true">
      <alignment horizontal="general" vertical="bottom" textRotation="0" wrapText="false" indent="0" shrinkToFit="false"/>
      <protection locked="true" hidden="false"/>
    </xf>
    <xf numFmtId="165" fontId="0" fillId="7" borderId="0" xfId="0" applyFont="true" applyBorder="true" applyAlignment="true" applyProtection="true">
      <alignment horizontal="center" vertical="bottom" textRotation="0" wrapText="false" indent="0" shrinkToFit="false"/>
      <protection locked="true" hidden="false"/>
    </xf>
    <xf numFmtId="165" fontId="42" fillId="7" borderId="0" xfId="0" applyFont="true" applyBorder="true" applyAlignment="true" applyProtection="true">
      <alignment horizontal="general" vertical="bottom" textRotation="0" wrapText="false" indent="0" shrinkToFit="false"/>
      <protection locked="true" hidden="false"/>
    </xf>
    <xf numFmtId="165" fontId="42" fillId="7" borderId="0" xfId="0" applyFont="true" applyBorder="true" applyAlignment="true" applyProtection="true">
      <alignment horizontal="center" vertical="bottom" textRotation="0" wrapText="false" indent="0" shrinkToFit="false"/>
      <protection locked="true" hidden="false"/>
    </xf>
    <xf numFmtId="165" fontId="70" fillId="0" borderId="0" xfId="0" applyFont="true" applyBorder="true" applyAlignment="true" applyProtection="true">
      <alignment horizontal="general" vertical="center" textRotation="0" wrapText="false" indent="0" shrinkToFit="false"/>
      <protection locked="true" hidden="false"/>
    </xf>
    <xf numFmtId="165" fontId="71" fillId="0" borderId="0" xfId="0" applyFont="true" applyBorder="true" applyAlignment="true" applyProtection="true">
      <alignment horizontal="general" vertical="center" textRotation="0" wrapText="false" indent="0" shrinkToFit="false"/>
      <protection locked="true" hidden="false"/>
    </xf>
    <xf numFmtId="165" fontId="72" fillId="7" borderId="0" xfId="0" applyFont="true" applyBorder="true" applyAlignment="true" applyProtection="true">
      <alignment horizontal="right" vertical="center" textRotation="0" wrapText="false" indent="0" shrinkToFit="false"/>
      <protection locked="true" hidden="false"/>
    </xf>
    <xf numFmtId="165" fontId="33" fillId="7" borderId="0" xfId="0" applyFont="true" applyBorder="true" applyAlignment="true" applyProtection="true">
      <alignment horizontal="general" vertical="center" textRotation="0" wrapText="true" indent="0" shrinkToFit="false"/>
      <protection locked="true" hidden="false"/>
    </xf>
    <xf numFmtId="165" fontId="40" fillId="7" borderId="0" xfId="0" applyFont="true" applyBorder="true" applyAlignment="true" applyProtection="true">
      <alignment horizontal="left" vertical="center" textRotation="0" wrapText="true" indent="0" shrinkToFit="false"/>
      <protection locked="true" hidden="false"/>
    </xf>
    <xf numFmtId="164" fontId="0" fillId="7" borderId="14" xfId="0" applyFont="true" applyBorder="true" applyAlignment="true" applyProtection="true">
      <alignment horizontal="center" vertical="center" textRotation="0" wrapText="true" indent="0" shrinkToFit="false"/>
      <protection locked="true" hidden="false"/>
    </xf>
    <xf numFmtId="165" fontId="0" fillId="7" borderId="14" xfId="0" applyFont="true" applyBorder="true" applyAlignment="true" applyProtection="true">
      <alignment horizontal="center" vertical="center" textRotation="0" wrapText="true" indent="0" shrinkToFit="false"/>
      <protection locked="true" hidden="false"/>
    </xf>
    <xf numFmtId="164" fontId="7" fillId="7" borderId="14" xfId="0" applyFont="true" applyBorder="true" applyAlignment="true" applyProtection="true">
      <alignment horizontal="center" vertical="center" textRotation="0" wrapText="true" indent="0" shrinkToFit="false"/>
      <protection locked="true" hidden="false"/>
    </xf>
    <xf numFmtId="165" fontId="53" fillId="7" borderId="0" xfId="0" applyFont="true" applyBorder="true" applyAlignment="true" applyProtection="true">
      <alignment horizontal="center" vertical="center" textRotation="0" wrapText="false" indent="0" shrinkToFit="false"/>
      <protection locked="true" hidden="false"/>
    </xf>
    <xf numFmtId="164" fontId="33" fillId="0" borderId="14" xfId="0" applyFont="true" applyBorder="true" applyAlignment="true" applyProtection="true">
      <alignment horizontal="center" vertical="center" textRotation="0" wrapText="false" indent="0" shrinkToFit="false"/>
      <protection locked="true" hidden="false"/>
    </xf>
    <xf numFmtId="165" fontId="33" fillId="0" borderId="14" xfId="0" applyFont="true" applyBorder="true" applyAlignment="true" applyProtection="true">
      <alignment horizontal="general" vertical="center" textRotation="0" wrapText="true" indent="0" shrinkToFit="false"/>
      <protection locked="true" hidden="false"/>
    </xf>
    <xf numFmtId="172" fontId="33" fillId="0" borderId="14" xfId="0" applyFont="true" applyBorder="true" applyAlignment="true" applyProtection="true">
      <alignment horizontal="left" vertical="center" textRotation="0" wrapText="true" indent="0" shrinkToFit="false"/>
      <protection locked="true" hidden="false"/>
    </xf>
    <xf numFmtId="165" fontId="73" fillId="7" borderId="0" xfId="0" applyFont="true" applyBorder="true" applyAlignment="true" applyProtection="true">
      <alignment horizontal="general" vertical="bottom" textRotation="0" wrapText="false" indent="0" shrinkToFit="false"/>
      <protection locked="true" hidden="false"/>
    </xf>
    <xf numFmtId="164" fontId="0" fillId="7" borderId="14" xfId="0" applyFont="true" applyBorder="true" applyAlignment="true" applyProtection="true">
      <alignment horizontal="center" vertical="center" textRotation="0" wrapText="false" indent="0" shrinkToFit="false"/>
      <protection locked="true" hidden="false"/>
    </xf>
    <xf numFmtId="172" fontId="0" fillId="7" borderId="14" xfId="0" applyFont="true" applyBorder="true" applyAlignment="true" applyProtection="true">
      <alignment horizontal="general" vertical="center" textRotation="0" wrapText="true" indent="0" shrinkToFit="false"/>
      <protection locked="true" hidden="false"/>
    </xf>
    <xf numFmtId="165" fontId="7" fillId="7" borderId="14" xfId="0" applyFont="true" applyBorder="true" applyAlignment="true" applyProtection="true">
      <alignment horizontal="general" vertical="center" textRotation="0" wrapText="true" indent="0" shrinkToFit="false"/>
      <protection locked="true" hidden="false"/>
    </xf>
    <xf numFmtId="172" fontId="0" fillId="7" borderId="14" xfId="0" applyFont="true" applyBorder="true" applyAlignment="true" applyProtection="true">
      <alignment horizontal="left" vertical="center" textRotation="0" wrapText="true" indent="1" shrinkToFit="false"/>
      <protection locked="true" hidden="false"/>
    </xf>
    <xf numFmtId="164" fontId="0" fillId="13" borderId="14" xfId="0" applyFont="true" applyBorder="true" applyAlignment="true" applyProtection="true">
      <alignment horizontal="left" vertical="center" textRotation="0" wrapText="true" indent="0" shrinkToFit="false"/>
      <protection locked="false" hidden="false"/>
    </xf>
    <xf numFmtId="165" fontId="33" fillId="0" borderId="14" xfId="0" applyFont="true" applyBorder="true" applyAlignment="true" applyProtection="true">
      <alignment horizontal="left" vertical="center" textRotation="0" wrapText="true" indent="1" shrinkToFit="false"/>
      <protection locked="true" hidden="false"/>
    </xf>
    <xf numFmtId="164" fontId="7" fillId="7" borderId="0" xfId="0" applyFont="true" applyBorder="true" applyAlignment="true" applyProtection="true">
      <alignment horizontal="center" vertical="center" textRotation="0" wrapText="true" indent="0" shrinkToFit="false"/>
      <protection locked="true" hidden="false"/>
    </xf>
    <xf numFmtId="165" fontId="7" fillId="7" borderId="19" xfId="0" applyFont="true" applyBorder="true" applyAlignment="true" applyProtection="true">
      <alignment horizontal="center" vertical="center" textRotation="0" wrapText="true" indent="0" shrinkToFit="false"/>
      <protection locked="true" hidden="false"/>
    </xf>
    <xf numFmtId="165" fontId="70" fillId="0" borderId="0" xfId="0" applyFont="true" applyBorder="true" applyAlignment="true" applyProtection="true">
      <alignment horizontal="general" vertical="center" textRotation="0" wrapText="true" indent="0" shrinkToFit="false"/>
      <protection locked="true" hidden="false"/>
    </xf>
    <xf numFmtId="172" fontId="0" fillId="7" borderId="14" xfId="0" applyFont="true" applyBorder="true" applyAlignment="true" applyProtection="true">
      <alignment horizontal="center" vertical="center" textRotation="0" wrapText="false" indent="0" shrinkToFit="false"/>
      <protection locked="true" hidden="false"/>
    </xf>
    <xf numFmtId="165" fontId="0" fillId="7" borderId="14" xfId="0" applyFont="true" applyBorder="true" applyAlignment="true" applyProtection="true">
      <alignment horizontal="left" vertical="center" textRotation="0" wrapText="true" indent="2" shrinkToFit="false"/>
      <protection locked="true" hidden="false"/>
    </xf>
    <xf numFmtId="164" fontId="0" fillId="0" borderId="14" xfId="0" applyFont="true" applyBorder="true" applyAlignment="true" applyProtection="true">
      <alignment horizontal="left" vertical="center" textRotation="0" wrapText="true" indent="0" shrinkToFit="false"/>
      <protection locked="true" hidden="false"/>
    </xf>
    <xf numFmtId="164" fontId="7" fillId="7" borderId="0" xfId="0" applyFont="true" applyBorder="true" applyAlignment="true" applyProtection="true">
      <alignment horizontal="general" vertical="center" textRotation="0" wrapText="true" indent="0" shrinkToFit="false"/>
      <protection locked="true" hidden="false"/>
    </xf>
    <xf numFmtId="165" fontId="7" fillId="7" borderId="19" xfId="0" applyFont="true" applyBorder="true" applyAlignment="true" applyProtection="true">
      <alignment horizontal="general" vertical="center" textRotation="0" wrapText="true" indent="0" shrinkToFit="false"/>
      <protection locked="true" hidden="false"/>
    </xf>
    <xf numFmtId="165" fontId="7" fillId="15" borderId="15" xfId="0" applyFont="true" applyBorder="true" applyAlignment="true" applyProtection="true">
      <alignment horizontal="center" vertical="bottom" textRotation="0" wrapText="false" indent="0" shrinkToFit="false"/>
      <protection locked="true" hidden="false"/>
    </xf>
    <xf numFmtId="165" fontId="72" fillId="15" borderId="12" xfId="0" applyFont="true" applyBorder="true" applyAlignment="true" applyProtection="true">
      <alignment horizontal="left" vertical="center" textRotation="0" wrapText="false" indent="0" shrinkToFit="false"/>
      <protection locked="true" hidden="false"/>
    </xf>
    <xf numFmtId="165" fontId="72" fillId="15" borderId="21" xfId="0" applyFont="true" applyBorder="true" applyAlignment="true" applyProtection="true">
      <alignment horizontal="left" vertical="center" textRotation="0" wrapText="false" indent="0" shrinkToFit="false"/>
      <protection locked="true" hidden="false"/>
    </xf>
    <xf numFmtId="164" fontId="33" fillId="7" borderId="14" xfId="0" applyFont="true" applyBorder="true" applyAlignment="true" applyProtection="true">
      <alignment horizontal="center" vertical="center" textRotation="0" wrapText="false" indent="0" shrinkToFit="false"/>
      <protection locked="true" hidden="false"/>
    </xf>
    <xf numFmtId="165" fontId="33" fillId="7" borderId="14" xfId="0" applyFont="true" applyBorder="true" applyAlignment="true" applyProtection="true">
      <alignment horizontal="general" vertical="center" textRotation="0" wrapText="true" indent="0" shrinkToFit="false"/>
      <protection locked="true" hidden="false"/>
    </xf>
    <xf numFmtId="165" fontId="33" fillId="7" borderId="14" xfId="0" applyFont="true" applyBorder="true" applyAlignment="true" applyProtection="true">
      <alignment horizontal="left" vertical="center" textRotation="0" wrapText="true" indent="1" shrinkToFit="false"/>
      <protection locked="true" hidden="false"/>
    </xf>
    <xf numFmtId="165" fontId="33" fillId="7" borderId="14" xfId="0" applyFont="true" applyBorder="true" applyAlignment="true" applyProtection="true">
      <alignment horizontal="left" vertical="center" textRotation="0" wrapText="true" indent="2" shrinkToFit="false"/>
      <protection locked="true" hidden="false"/>
    </xf>
    <xf numFmtId="164" fontId="33" fillId="0" borderId="14" xfId="0" applyFont="true" applyBorder="true" applyAlignment="true" applyProtection="true">
      <alignment horizontal="left" vertical="center" textRotation="0" wrapText="true" indent="0" shrinkToFit="false"/>
      <protection locked="true" hidden="false"/>
    </xf>
    <xf numFmtId="172" fontId="0" fillId="7" borderId="14" xfId="0" applyFont="true" applyBorder="true" applyAlignment="true" applyProtection="true">
      <alignment horizontal="left" vertical="center" textRotation="0" wrapText="true" indent="0" shrinkToFit="false"/>
      <protection locked="true" hidden="false"/>
    </xf>
    <xf numFmtId="164" fontId="0" fillId="10" borderId="14" xfId="0" applyFont="true" applyBorder="true" applyAlignment="true" applyProtection="true">
      <alignment horizontal="left" vertical="center" textRotation="0" wrapText="true" indent="0" shrinkToFit="false"/>
      <protection locked="false" hidden="false"/>
    </xf>
    <xf numFmtId="172" fontId="0" fillId="7" borderId="27" xfId="0" applyFont="true" applyBorder="true" applyAlignment="true" applyProtection="true">
      <alignment horizontal="left" vertical="center" textRotation="0" wrapText="true" indent="0" shrinkToFit="false"/>
      <protection locked="true" hidden="false"/>
    </xf>
    <xf numFmtId="172" fontId="7" fillId="7" borderId="14" xfId="0" applyFont="true" applyBorder="true" applyAlignment="true" applyProtection="true">
      <alignment horizontal="left" vertical="top" textRotation="0" wrapText="true" indent="0" shrinkToFit="false"/>
      <protection locked="true" hidden="false"/>
    </xf>
    <xf numFmtId="165" fontId="47" fillId="7" borderId="0" xfId="0" applyFont="true" applyBorder="true" applyAlignment="true" applyProtection="true">
      <alignment horizontal="center" vertical="center" textRotation="0" wrapText="true" indent="0" shrinkToFit="false"/>
      <protection locked="true" hidden="false"/>
    </xf>
    <xf numFmtId="164" fontId="0" fillId="13" borderId="14" xfId="0" applyFont="true" applyBorder="true" applyAlignment="true" applyProtection="true">
      <alignment horizontal="left" vertical="center" textRotation="0" wrapText="true" indent="1" shrinkToFit="false"/>
      <protection locked="false" hidden="false"/>
    </xf>
    <xf numFmtId="164" fontId="7" fillId="13" borderId="15" xfId="0" applyFont="true" applyBorder="true" applyAlignment="true" applyProtection="true">
      <alignment horizontal="left" vertical="center" textRotation="0" wrapText="true" indent="0" shrinkToFit="false"/>
      <protection locked="false" hidden="false"/>
    </xf>
    <xf numFmtId="165" fontId="74" fillId="7" borderId="0" xfId="0" applyFont="true" applyBorder="true" applyAlignment="true" applyProtection="true">
      <alignment horizontal="general" vertical="bottom" textRotation="0" wrapText="false" indent="0" shrinkToFit="false"/>
      <protection locked="true" hidden="false"/>
    </xf>
    <xf numFmtId="164" fontId="7" fillId="13" borderId="14" xfId="0" applyFont="true" applyBorder="true" applyAlignment="true" applyProtection="true">
      <alignment horizontal="left" vertical="center" textRotation="0" wrapText="true" indent="0" shrinkToFit="false"/>
      <protection locked="false" hidden="false"/>
    </xf>
    <xf numFmtId="164" fontId="7" fillId="14" borderId="14" xfId="0" applyFont="true" applyBorder="true" applyAlignment="true" applyProtection="true">
      <alignment horizontal="left" vertical="center" textRotation="0" wrapText="true" indent="0" shrinkToFit="false"/>
      <protection locked="true" hidden="false"/>
    </xf>
    <xf numFmtId="165" fontId="0" fillId="7" borderId="15" xfId="0" applyFont="true" applyBorder="true" applyAlignment="true" applyProtection="true">
      <alignment horizontal="left" vertical="center" textRotation="0" wrapText="true" indent="1" shrinkToFit="false"/>
      <protection locked="true" hidden="false"/>
    </xf>
    <xf numFmtId="164" fontId="7" fillId="14" borderId="15" xfId="0" applyFont="true" applyBorder="true" applyAlignment="true" applyProtection="true">
      <alignment horizontal="left" vertical="center" textRotation="0" wrapText="true" indent="0" shrinkToFit="false"/>
      <protection locked="true" hidden="false"/>
    </xf>
    <xf numFmtId="165" fontId="0" fillId="7" borderId="14" xfId="0" applyFont="true" applyBorder="true" applyAlignment="true" applyProtection="true">
      <alignment horizontal="general" vertical="top" textRotation="0" wrapText="true" indent="0" shrinkToFit="false"/>
      <protection locked="true" hidden="false"/>
    </xf>
    <xf numFmtId="165" fontId="0" fillId="7" borderId="15" xfId="0" applyFont="true" applyBorder="true" applyAlignment="true" applyProtection="true">
      <alignment horizontal="left" vertical="center" textRotation="0" wrapText="true" indent="0" shrinkToFit="false"/>
      <protection locked="true" hidden="false"/>
    </xf>
    <xf numFmtId="172" fontId="0" fillId="7" borderId="20" xfId="0" applyFont="true" applyBorder="true" applyAlignment="true" applyProtection="true">
      <alignment horizontal="general" vertical="center" textRotation="0" wrapText="true" indent="0" shrinkToFit="false"/>
      <protection locked="true" hidden="false"/>
    </xf>
    <xf numFmtId="165" fontId="7" fillId="0" borderId="0" xfId="0" applyFont="true" applyBorder="true" applyAlignment="true" applyProtection="true">
      <alignment horizontal="general" vertical="top" textRotation="0" wrapText="true" indent="0" shrinkToFit="false"/>
      <protection locked="true" hidden="false"/>
    </xf>
    <xf numFmtId="165" fontId="57" fillId="0" borderId="0" xfId="0" applyFont="true" applyBorder="true" applyAlignment="true" applyProtection="true">
      <alignment horizontal="right" vertical="top" textRotation="0" wrapText="true" indent="0" shrinkToFit="false"/>
      <protection locked="true" hidden="false"/>
    </xf>
    <xf numFmtId="172" fontId="57" fillId="0" borderId="0" xfId="0" applyFont="true" applyBorder="true" applyAlignment="true" applyProtection="true">
      <alignment horizontal="left" vertical="top" textRotation="0" wrapText="true" indent="1" shrinkToFit="false"/>
      <protection locked="true" hidden="false"/>
    </xf>
    <xf numFmtId="165" fontId="75" fillId="7" borderId="0" xfId="0" applyFont="true" applyBorder="true" applyAlignment="true" applyProtection="true">
      <alignment horizontal="general" vertical="bottom" textRotation="0" wrapText="false" indent="0" shrinkToFit="false"/>
      <protection locked="true" hidden="false"/>
    </xf>
    <xf numFmtId="165" fontId="27" fillId="7" borderId="0" xfId="0" applyFont="true" applyBorder="true" applyAlignment="true" applyProtection="true">
      <alignment horizontal="right" vertical="center" textRotation="0" wrapText="false" indent="0" shrinkToFit="false"/>
      <protection locked="true" hidden="false"/>
    </xf>
    <xf numFmtId="165" fontId="29" fillId="7" borderId="0" xfId="0" applyFont="true" applyBorder="true" applyAlignment="true" applyProtection="true">
      <alignment horizontal="general" vertical="center" textRotation="0" wrapText="false" indent="0" shrinkToFit="false"/>
      <protection locked="true" hidden="false"/>
    </xf>
    <xf numFmtId="165" fontId="27" fillId="7" borderId="0" xfId="0" applyFont="true" applyBorder="true" applyAlignment="true" applyProtection="true">
      <alignment horizontal="right" vertical="top" textRotation="0" wrapText="false" indent="0" shrinkToFit="false"/>
      <protection locked="true" hidden="false"/>
    </xf>
    <xf numFmtId="165" fontId="29" fillId="7" borderId="0" xfId="0" applyFont="true" applyBorder="true" applyAlignment="true" applyProtection="true">
      <alignment horizontal="general" vertical="center" textRotation="0" wrapText="true" indent="0" shrinkToFit="false"/>
      <protection locked="true" hidden="false"/>
    </xf>
    <xf numFmtId="165" fontId="34" fillId="7" borderId="0" xfId="0" applyFont="true" applyBorder="true" applyAlignment="true" applyProtection="true">
      <alignment horizontal="right" vertical="center" textRotation="0" wrapText="true" indent="0" shrinkToFit="false"/>
      <protection locked="true" hidden="false"/>
    </xf>
    <xf numFmtId="165" fontId="6" fillId="0" borderId="0" xfId="0" applyFont="true" applyBorder="true" applyAlignment="true" applyProtection="true">
      <alignment horizontal="left" vertical="center" textRotation="0" wrapText="true" indent="3" shrinkToFit="false"/>
      <protection locked="true" hidden="false"/>
    </xf>
    <xf numFmtId="165" fontId="66" fillId="0" borderId="0" xfId="0" applyFont="true" applyBorder="true" applyAlignment="true" applyProtection="true">
      <alignment horizontal="center" vertical="center" textRotation="0" wrapText="true" indent="0" shrinkToFit="false"/>
      <protection locked="true" hidden="false"/>
    </xf>
    <xf numFmtId="165" fontId="76" fillId="7" borderId="0" xfId="0" applyFont="true" applyBorder="true" applyAlignment="true" applyProtection="true">
      <alignment horizontal="center" vertical="center" textRotation="0" wrapText="true" indent="0" shrinkToFit="false"/>
      <protection locked="true" hidden="false"/>
    </xf>
    <xf numFmtId="165" fontId="36" fillId="0" borderId="0" xfId="0" applyFont="true" applyBorder="true" applyAlignment="true" applyProtection="true">
      <alignment horizontal="left" vertical="center" textRotation="0" wrapText="true" indent="1" shrinkToFit="false"/>
      <protection locked="true" hidden="false"/>
    </xf>
    <xf numFmtId="165" fontId="7" fillId="0" borderId="0" xfId="0" applyFont="true" applyBorder="true" applyAlignment="true" applyProtection="true">
      <alignment horizontal="right" vertical="center" textRotation="0" wrapText="false" indent="0" shrinkToFit="false"/>
      <protection locked="true" hidden="false"/>
    </xf>
    <xf numFmtId="172" fontId="0" fillId="0" borderId="14" xfId="0" applyFont="true" applyBorder="true" applyAlignment="true" applyProtection="true">
      <alignment horizontal="center" vertical="center" textRotation="0" wrapText="true" indent="0" shrinkToFit="false"/>
      <protection locked="true" hidden="false"/>
    </xf>
    <xf numFmtId="165" fontId="0" fillId="0" borderId="27" xfId="0" applyFont="true" applyBorder="true" applyAlignment="true" applyProtection="true">
      <alignment horizontal="center" vertical="center" textRotation="0" wrapText="true" indent="0" shrinkToFit="false"/>
      <protection locked="true" hidden="false"/>
    </xf>
    <xf numFmtId="165" fontId="0" fillId="0" borderId="15" xfId="0" applyFont="true" applyBorder="true" applyAlignment="true" applyProtection="true">
      <alignment horizontal="center" vertical="center" textRotation="0" wrapText="true" indent="0" shrinkToFit="false"/>
      <protection locked="true" hidden="false"/>
    </xf>
    <xf numFmtId="165" fontId="0" fillId="0" borderId="21" xfId="0" applyFont="true" applyBorder="true" applyAlignment="true" applyProtection="true">
      <alignment horizontal="center" vertical="center" textRotation="0" wrapText="true" indent="0" shrinkToFit="false"/>
      <protection locked="true" hidden="false"/>
    </xf>
    <xf numFmtId="165" fontId="0" fillId="0" borderId="17" xfId="0" applyFont="true" applyBorder="true" applyAlignment="true" applyProtection="true">
      <alignment horizontal="center" vertical="center" textRotation="0" wrapText="true" indent="0" shrinkToFit="false"/>
      <protection locked="true" hidden="false"/>
    </xf>
    <xf numFmtId="165" fontId="0" fillId="0" borderId="20" xfId="0" applyFont="true" applyBorder="true" applyAlignment="true" applyProtection="true">
      <alignment horizontal="center" vertical="center" textRotation="0" wrapText="true" indent="0" shrinkToFit="false"/>
      <protection locked="true" hidden="false"/>
    </xf>
    <xf numFmtId="165" fontId="0" fillId="0" borderId="31" xfId="0" applyFont="true" applyBorder="true" applyAlignment="true" applyProtection="true">
      <alignment horizontal="center" vertical="center" textRotation="0" wrapText="true" indent="0" shrinkToFit="false"/>
      <protection locked="true" hidden="false"/>
    </xf>
    <xf numFmtId="165" fontId="53" fillId="7" borderId="0" xfId="0" applyFont="true" applyBorder="true" applyAlignment="true" applyProtection="true">
      <alignment horizontal="center" vertical="center" textRotation="0" wrapText="true" indent="0" shrinkToFit="false"/>
      <protection locked="true" hidden="false"/>
    </xf>
    <xf numFmtId="164" fontId="53" fillId="7" borderId="0" xfId="0" applyFont="true" applyBorder="true" applyAlignment="true" applyProtection="true">
      <alignment horizontal="center" vertical="center" textRotation="0" wrapText="true" indent="0" shrinkToFit="false"/>
      <protection locked="true" hidden="false"/>
    </xf>
    <xf numFmtId="165" fontId="77" fillId="7" borderId="0" xfId="0" applyFont="true" applyBorder="true" applyAlignment="true" applyProtection="true">
      <alignment horizontal="center" vertical="center" textRotation="0" wrapText="true" indent="0" shrinkToFit="false"/>
      <protection locked="true" hidden="false"/>
    </xf>
    <xf numFmtId="164" fontId="49" fillId="0" borderId="27" xfId="0" applyFont="true" applyBorder="true" applyAlignment="true" applyProtection="true">
      <alignment horizontal="left" vertical="center" textRotation="0" wrapText="true" indent="0" shrinkToFit="false"/>
      <protection locked="true" hidden="false"/>
    </xf>
    <xf numFmtId="164" fontId="49" fillId="0" borderId="14" xfId="0" applyFont="true" applyBorder="true" applyAlignment="true" applyProtection="true">
      <alignment horizontal="left" vertical="center" textRotation="0" wrapText="true" indent="0" shrinkToFit="false"/>
      <protection locked="true" hidden="false"/>
    </xf>
    <xf numFmtId="164" fontId="0" fillId="0" borderId="14" xfId="0" applyFont="true" applyBorder="true" applyAlignment="true" applyProtection="true">
      <alignment horizontal="general" vertical="top" textRotation="0" wrapText="true" indent="0" shrinkToFit="false"/>
      <protection locked="true" hidden="false"/>
    </xf>
    <xf numFmtId="164" fontId="0" fillId="0" borderId="14" xfId="0" applyFont="true" applyBorder="true" applyAlignment="true" applyProtection="true">
      <alignment horizontal="center" vertical="center" textRotation="0" wrapText="true" indent="0" shrinkToFit="false"/>
      <protection locked="true" hidden="false"/>
    </xf>
    <xf numFmtId="165" fontId="7" fillId="14" borderId="15" xfId="0" applyFont="true" applyBorder="true" applyAlignment="true" applyProtection="true">
      <alignment horizontal="left" vertical="center" textRotation="0" wrapText="true" indent="0" shrinkToFit="false"/>
      <protection locked="true" hidden="false"/>
    </xf>
    <xf numFmtId="164" fontId="53" fillId="7" borderId="14" xfId="0" applyFont="true" applyBorder="true" applyAlignment="true" applyProtection="true">
      <alignment horizontal="center" vertical="center" textRotation="0" wrapText="true" indent="0" shrinkToFit="false"/>
      <protection locked="true" hidden="false"/>
    </xf>
    <xf numFmtId="171" fontId="0" fillId="13" borderId="14" xfId="0" applyFont="true" applyBorder="true" applyAlignment="true" applyProtection="true">
      <alignment horizontal="right" vertical="center" textRotation="0" wrapText="true" indent="0" shrinkToFit="false"/>
      <protection locked="false" hidden="false"/>
    </xf>
    <xf numFmtId="176" fontId="0" fillId="13" borderId="14" xfId="0" applyFont="true" applyBorder="true" applyAlignment="true" applyProtection="true">
      <alignment horizontal="right" vertical="center" textRotation="0" wrapText="true" indent="0" shrinkToFit="false"/>
      <protection locked="false" hidden="false"/>
    </xf>
    <xf numFmtId="171" fontId="0" fillId="13" borderId="21" xfId="0" applyFont="true" applyBorder="true" applyAlignment="true" applyProtection="true">
      <alignment horizontal="right" vertical="center" textRotation="0" wrapText="true" indent="0" shrinkToFit="false"/>
      <protection locked="false" hidden="false"/>
    </xf>
    <xf numFmtId="165" fontId="0" fillId="10" borderId="14" xfId="0" applyFont="true" applyBorder="true" applyAlignment="true" applyProtection="true">
      <alignment horizontal="right" vertical="center" textRotation="0" wrapText="true" indent="0" shrinkToFit="false"/>
      <protection locked="false" hidden="false"/>
    </xf>
    <xf numFmtId="176" fontId="0" fillId="0" borderId="21" xfId="0" applyFont="true" applyBorder="true" applyAlignment="true" applyProtection="true">
      <alignment horizontal="right" vertical="center" textRotation="0" wrapText="true" indent="0" shrinkToFit="false"/>
      <protection locked="true" hidden="false"/>
    </xf>
    <xf numFmtId="165" fontId="0" fillId="0" borderId="14" xfId="0" applyFont="true" applyBorder="true" applyAlignment="true" applyProtection="true">
      <alignment horizontal="left" vertical="top" textRotation="0" wrapText="true" indent="0" shrinkToFit="false"/>
      <protection locked="true" hidden="false"/>
    </xf>
    <xf numFmtId="164" fontId="18" fillId="15" borderId="15" xfId="0" applyFont="true" applyBorder="true" applyAlignment="true" applyProtection="true">
      <alignment horizontal="center" vertical="center" textRotation="0" wrapText="false" indent="0" shrinkToFit="false"/>
      <protection locked="true" hidden="false"/>
    </xf>
    <xf numFmtId="172" fontId="56" fillId="15" borderId="12" xfId="0" applyFont="true" applyBorder="true" applyAlignment="true" applyProtection="true">
      <alignment horizontal="general" vertical="center" textRotation="0" wrapText="false" indent="0" shrinkToFit="false"/>
      <protection locked="true" hidden="false"/>
    </xf>
    <xf numFmtId="164" fontId="56" fillId="15" borderId="12" xfId="0" applyFont="true" applyBorder="true" applyAlignment="true" applyProtection="true">
      <alignment horizontal="general" vertical="center" textRotation="0" wrapText="false" indent="0" shrinkToFit="false"/>
      <protection locked="true" hidden="false"/>
    </xf>
    <xf numFmtId="164" fontId="72" fillId="15" borderId="12" xfId="0" applyFont="true" applyBorder="true" applyAlignment="true" applyProtection="true">
      <alignment horizontal="general" vertical="center" textRotation="0" wrapText="false" indent="0" shrinkToFit="false"/>
      <protection locked="true" hidden="false"/>
    </xf>
    <xf numFmtId="164" fontId="72" fillId="15" borderId="21" xfId="0" applyFont="true" applyBorder="true" applyAlignment="true" applyProtection="true">
      <alignment horizontal="general" vertical="center" textRotation="0" wrapText="false" indent="0" shrinkToFit="false"/>
      <protection locked="true" hidden="false"/>
    </xf>
    <xf numFmtId="164" fontId="0" fillId="0" borderId="15" xfId="0" applyFont="true" applyBorder="true" applyAlignment="true" applyProtection="true">
      <alignment horizontal="center" vertical="center" textRotation="0" wrapText="true" indent="0" shrinkToFit="false"/>
      <protection locked="true" hidden="false"/>
    </xf>
    <xf numFmtId="165" fontId="7" fillId="14" borderId="12" xfId="0" applyFont="true" applyBorder="true" applyAlignment="true" applyProtection="true">
      <alignment horizontal="left" vertical="center" textRotation="0" wrapText="true" indent="0" shrinkToFit="false"/>
      <protection locked="true" hidden="false"/>
    </xf>
    <xf numFmtId="165" fontId="47" fillId="7" borderId="14" xfId="0" applyFont="true" applyBorder="true" applyAlignment="true" applyProtection="true">
      <alignment horizontal="center" vertical="center" textRotation="0" wrapText="true" indent="0" shrinkToFit="false"/>
      <protection locked="true" hidden="false"/>
    </xf>
    <xf numFmtId="176" fontId="7" fillId="13" borderId="14" xfId="0" applyFont="true" applyBorder="true" applyAlignment="true" applyProtection="true">
      <alignment horizontal="right" vertical="center" textRotation="0" wrapText="true" indent="0" shrinkToFit="false"/>
      <protection locked="false" hidden="false"/>
    </xf>
    <xf numFmtId="165" fontId="7" fillId="0" borderId="16" xfId="0" applyFont="true" applyBorder="true" applyAlignment="true" applyProtection="true">
      <alignment horizontal="left" vertical="top" textRotation="0" wrapText="true" indent="1" shrinkToFit="false"/>
      <protection locked="true" hidden="false"/>
    </xf>
    <xf numFmtId="165" fontId="36" fillId="7" borderId="0" xfId="0" applyFont="true" applyBorder="true" applyAlignment="true" applyProtection="true">
      <alignment horizontal="right" vertical="center" textRotation="0" wrapText="false" indent="0" shrinkToFit="false"/>
      <protection locked="true" hidden="false"/>
    </xf>
    <xf numFmtId="165" fontId="36" fillId="7" borderId="0" xfId="0" applyFont="true" applyBorder="true" applyAlignment="true" applyProtection="true">
      <alignment horizontal="right" vertical="center" textRotation="0" wrapText="true" indent="0" shrinkToFit="false"/>
      <protection locked="true" hidden="false"/>
    </xf>
    <xf numFmtId="165" fontId="6" fillId="0" borderId="0" xfId="0" applyFont="true" applyBorder="true" applyAlignment="true" applyProtection="true">
      <alignment horizontal="center" vertical="center" textRotation="0" wrapText="true" indent="0" shrinkToFit="false"/>
      <protection locked="true" hidden="false"/>
    </xf>
    <xf numFmtId="171" fontId="36" fillId="0" borderId="0" xfId="0" applyFont="true" applyBorder="true" applyAlignment="true" applyProtection="true">
      <alignment horizontal="right" vertical="center" textRotation="0" wrapText="true" indent="0" shrinkToFit="false"/>
      <protection locked="true" hidden="false"/>
    </xf>
    <xf numFmtId="165" fontId="7" fillId="7" borderId="14" xfId="0" applyFont="true" applyBorder="true" applyAlignment="true" applyProtection="true">
      <alignment horizontal="center" vertical="center" textRotation="0" wrapText="true" indent="0" shrinkToFit="false"/>
      <protection locked="true" hidden="false"/>
    </xf>
    <xf numFmtId="164" fontId="53" fillId="7" borderId="12" xfId="0" applyFont="true" applyBorder="true" applyAlignment="true" applyProtection="true">
      <alignment horizontal="center" vertical="center" textRotation="0" wrapText="true" indent="0" shrinkToFit="false"/>
      <protection locked="true" hidden="false"/>
    </xf>
    <xf numFmtId="164" fontId="7" fillId="0" borderId="14" xfId="0" applyFont="true" applyBorder="true" applyAlignment="true" applyProtection="true">
      <alignment horizontal="left" vertical="center" textRotation="0" wrapText="true" indent="0" shrinkToFit="false"/>
      <protection locked="true" hidden="false"/>
    </xf>
    <xf numFmtId="165" fontId="47" fillId="7" borderId="19" xfId="0" applyFont="true" applyBorder="true" applyAlignment="true" applyProtection="true">
      <alignment horizontal="general" vertical="top" textRotation="0" wrapText="true" indent="0" shrinkToFit="false"/>
      <protection locked="true" hidden="false"/>
    </xf>
    <xf numFmtId="173" fontId="7" fillId="15" borderId="12" xfId="0" applyFont="true" applyBorder="true" applyAlignment="true" applyProtection="true">
      <alignment horizontal="center" vertical="center" textRotation="0" wrapText="true" indent="0" shrinkToFit="false"/>
      <protection locked="true" hidden="false"/>
    </xf>
    <xf numFmtId="173" fontId="65" fillId="15" borderId="12" xfId="0" applyFont="true" applyBorder="true" applyAlignment="true" applyProtection="true">
      <alignment horizontal="center" vertical="center" textRotation="0" wrapText="true" indent="0" shrinkToFit="false"/>
      <protection locked="true" hidden="false"/>
    </xf>
    <xf numFmtId="164" fontId="17" fillId="15" borderId="21" xfId="0" applyFont="true" applyBorder="true" applyAlignment="true" applyProtection="true">
      <alignment horizontal="left" vertical="center" textRotation="0" wrapText="true" indent="0" shrinkToFit="false"/>
      <protection locked="true" hidden="false"/>
    </xf>
    <xf numFmtId="164" fontId="33" fillId="0" borderId="0" xfId="0" applyFont="true" applyBorder="true" applyAlignment="true" applyProtection="true">
      <alignment horizontal="left" vertical="center" textRotation="0" wrapText="true" indent="0" shrinkToFit="false"/>
      <protection locked="true" hidden="false"/>
    </xf>
    <xf numFmtId="165" fontId="47" fillId="7" borderId="0" xfId="0" applyFont="true" applyBorder="true" applyAlignment="true" applyProtection="true">
      <alignment horizontal="general" vertical="top" textRotation="0" wrapText="true" indent="0" shrinkToFit="false"/>
      <protection locked="true" hidden="false"/>
    </xf>
    <xf numFmtId="165" fontId="33" fillId="7" borderId="20" xfId="0" applyFont="true" applyBorder="true" applyAlignment="true" applyProtection="true">
      <alignment horizontal="center" vertical="center" textRotation="0" wrapText="true" indent="0" shrinkToFit="false"/>
      <protection locked="true" hidden="false"/>
    </xf>
    <xf numFmtId="173" fontId="7" fillId="14" borderId="20" xfId="0" applyFont="true" applyBorder="true" applyAlignment="true" applyProtection="true">
      <alignment horizontal="left" vertical="center" textRotation="0" wrapText="true" indent="0" shrinkToFit="false"/>
      <protection locked="true" hidden="false"/>
    </xf>
    <xf numFmtId="173" fontId="7" fillId="14" borderId="14" xfId="0" applyFont="true" applyBorder="true" applyAlignment="true" applyProtection="true">
      <alignment horizontal="center" vertical="center" textRotation="0" wrapText="true" indent="0" shrinkToFit="false"/>
      <protection locked="true" hidden="false"/>
    </xf>
    <xf numFmtId="164" fontId="17" fillId="13" borderId="14" xfId="0" applyFont="true" applyBorder="true" applyAlignment="true" applyProtection="true">
      <alignment horizontal="left" vertical="center" textRotation="0" wrapText="true" indent="0" shrinkToFit="false"/>
      <protection locked="false" hidden="false"/>
    </xf>
    <xf numFmtId="164" fontId="18" fillId="15" borderId="12" xfId="0" applyFont="true" applyBorder="true" applyAlignment="true" applyProtection="true">
      <alignment horizontal="center" vertical="center" textRotation="0" wrapText="false" indent="0" shrinkToFit="false"/>
      <protection locked="true" hidden="false"/>
    </xf>
    <xf numFmtId="164" fontId="72" fillId="15" borderId="12" xfId="0" applyFont="true" applyBorder="true" applyAlignment="true" applyProtection="true">
      <alignment horizontal="left" vertical="center" textRotation="0" wrapText="false" indent="1" shrinkToFit="false"/>
      <protection locked="true" hidden="false"/>
    </xf>
    <xf numFmtId="164" fontId="72" fillId="15" borderId="21" xfId="0" applyFont="true" applyBorder="true" applyAlignment="true" applyProtection="true">
      <alignment horizontal="left" vertical="center" textRotation="0" wrapText="false" indent="1" shrinkToFit="false"/>
      <protection locked="true" hidden="false"/>
    </xf>
    <xf numFmtId="165" fontId="76" fillId="0" borderId="0" xfId="0" applyFont="true" applyBorder="true" applyAlignment="true" applyProtection="true">
      <alignment horizontal="center" vertical="center" textRotation="0" wrapText="true" indent="0" shrinkToFit="false"/>
      <protection locked="true" hidden="false"/>
    </xf>
    <xf numFmtId="165" fontId="57" fillId="0" borderId="0" xfId="0" applyFont="true" applyBorder="true" applyAlignment="true" applyProtection="true">
      <alignment horizontal="general" vertical="top" textRotation="0" wrapText="true" indent="0" shrinkToFit="false"/>
      <protection locked="true" hidden="false"/>
    </xf>
    <xf numFmtId="165" fontId="7" fillId="0" borderId="0" xfId="0" applyFont="true" applyBorder="true" applyAlignment="true" applyProtection="true">
      <alignment horizontal="right" vertical="top" textRotation="0" wrapText="true" indent="0" shrinkToFit="false"/>
      <protection locked="true" hidden="false"/>
    </xf>
    <xf numFmtId="172" fontId="57" fillId="0" borderId="0" xfId="0" applyFont="true" applyBorder="true" applyAlignment="true" applyProtection="true">
      <alignment horizontal="general" vertical="top" textRotation="0" wrapText="false" indent="0" shrinkToFit="false"/>
      <protection locked="true" hidden="false"/>
    </xf>
    <xf numFmtId="165" fontId="78" fillId="0" borderId="0" xfId="0" applyFont="true" applyBorder="true" applyAlignment="true" applyProtection="true">
      <alignment horizontal="general" vertical="center" textRotation="0" wrapText="true" indent="0" shrinkToFit="false"/>
      <protection locked="true" hidden="false"/>
    </xf>
    <xf numFmtId="165" fontId="31" fillId="0" borderId="0" xfId="0" applyFont="true" applyBorder="true" applyAlignment="true" applyProtection="true">
      <alignment horizontal="left" vertical="center" textRotation="0" wrapText="false" indent="1" shrinkToFit="false"/>
      <protection locked="true" hidden="false"/>
    </xf>
    <xf numFmtId="165" fontId="31" fillId="0" borderId="14" xfId="0" applyFont="true" applyBorder="true" applyAlignment="true" applyProtection="true">
      <alignment horizontal="center" vertical="center" textRotation="0" wrapText="false" indent="0" shrinkToFit="false"/>
      <protection locked="true" hidden="false"/>
    </xf>
    <xf numFmtId="165" fontId="31" fillId="0" borderId="0" xfId="0" applyFont="true" applyBorder="true" applyAlignment="true" applyProtection="true">
      <alignment horizontal="center" vertical="center" textRotation="0" wrapText="false" indent="0" shrinkToFit="false"/>
      <protection locked="true" hidden="false"/>
    </xf>
    <xf numFmtId="164" fontId="7" fillId="0" borderId="19" xfId="0" applyFont="true" applyBorder="true" applyAlignment="true" applyProtection="true">
      <alignment horizontal="general" vertical="top" textRotation="0" wrapText="false" indent="0" shrinkToFit="false"/>
      <protection locked="true" hidden="false"/>
    </xf>
    <xf numFmtId="172" fontId="7" fillId="7" borderId="14" xfId="0" applyFont="true" applyBorder="true" applyAlignment="true" applyProtection="true">
      <alignment horizontal="left" vertical="center" textRotation="0" wrapText="true" indent="0" shrinkToFit="false"/>
      <protection locked="true" hidden="false"/>
    </xf>
    <xf numFmtId="165" fontId="7" fillId="0" borderId="14" xfId="0" applyFont="true" applyBorder="true" applyAlignment="true" applyProtection="true">
      <alignment horizontal="general" vertical="center" textRotation="0" wrapText="true" indent="0" shrinkToFit="false"/>
      <protection locked="true" hidden="false"/>
    </xf>
    <xf numFmtId="165" fontId="7" fillId="0" borderId="14" xfId="0" applyFont="true" applyBorder="true" applyAlignment="true" applyProtection="true">
      <alignment horizontal="left" vertical="center" textRotation="0" wrapText="true" indent="6" shrinkToFit="false"/>
      <protection locked="true" hidden="false"/>
    </xf>
    <xf numFmtId="165" fontId="7" fillId="12" borderId="14" xfId="0" applyFont="true" applyBorder="true" applyAlignment="true" applyProtection="true">
      <alignment horizontal="left" vertical="center" textRotation="0" wrapText="true" indent="0" shrinkToFit="false"/>
      <protection locked="true" hidden="false"/>
    </xf>
    <xf numFmtId="172" fontId="7" fillId="12" borderId="14" xfId="0" applyFont="true" applyBorder="true" applyAlignment="true" applyProtection="true">
      <alignment horizontal="left" vertical="center" textRotation="0" wrapText="true" indent="0" shrinkToFit="false"/>
      <protection locked="true" hidden="false"/>
    </xf>
    <xf numFmtId="165" fontId="57" fillId="0" borderId="14" xfId="0" applyFont="true" applyBorder="true" applyAlignment="true" applyProtection="true">
      <alignment horizontal="general" vertical="top" textRotation="0" wrapText="true" indent="0" shrinkToFit="false"/>
      <protection locked="true" hidden="false"/>
    </xf>
    <xf numFmtId="165" fontId="52" fillId="7" borderId="0" xfId="0" applyFont="true" applyBorder="true" applyAlignment="true" applyProtection="true">
      <alignment horizontal="center" vertical="center" textRotation="0" wrapText="true" indent="0" shrinkToFit="false"/>
      <protection locked="true" hidden="false"/>
    </xf>
    <xf numFmtId="165" fontId="7" fillId="0" borderId="19" xfId="0" applyFont="true" applyBorder="true" applyAlignment="true" applyProtection="true">
      <alignment horizontal="general" vertical="center" textRotation="0" wrapText="true" indent="0" shrinkToFit="false"/>
      <protection locked="true" hidden="false"/>
    </xf>
    <xf numFmtId="165" fontId="7" fillId="7" borderId="14" xfId="0" applyFont="true" applyBorder="true" applyAlignment="true" applyProtection="true">
      <alignment horizontal="left" vertical="center" textRotation="0" wrapText="true" indent="1" shrinkToFit="false"/>
      <protection locked="true" hidden="false"/>
    </xf>
    <xf numFmtId="165" fontId="47" fillId="0" borderId="0" xfId="0" applyFont="true" applyBorder="true" applyAlignment="true" applyProtection="true">
      <alignment horizontal="general" vertical="center" textRotation="0" wrapText="true" indent="0" shrinkToFit="false"/>
      <protection locked="true" hidden="false"/>
    </xf>
    <xf numFmtId="165" fontId="7" fillId="7" borderId="14" xfId="0" applyFont="true" applyBorder="true" applyAlignment="true" applyProtection="true">
      <alignment horizontal="left" vertical="center" textRotation="0" wrapText="true" indent="2" shrinkToFit="false"/>
      <protection locked="true" hidden="false"/>
    </xf>
    <xf numFmtId="165" fontId="7" fillId="7" borderId="14" xfId="0" applyFont="true" applyBorder="true" applyAlignment="true" applyProtection="true">
      <alignment horizontal="left" vertical="center" textRotation="0" wrapText="true" indent="3" shrinkToFit="false"/>
      <protection locked="true" hidden="false"/>
    </xf>
    <xf numFmtId="172" fontId="31" fillId="0" borderId="14" xfId="0" applyFont="true" applyBorder="true" applyAlignment="true" applyProtection="true">
      <alignment horizontal="center" vertical="center" textRotation="0" wrapText="true" indent="0" shrinkToFit="false"/>
      <protection locked="true" hidden="false"/>
    </xf>
    <xf numFmtId="165" fontId="33" fillId="0" borderId="19" xfId="0" applyFont="true" applyBorder="true" applyAlignment="true" applyProtection="true">
      <alignment horizontal="center" vertical="center" textRotation="0" wrapText="true" indent="0" shrinkToFit="false"/>
      <protection locked="true" hidden="false"/>
    </xf>
    <xf numFmtId="165" fontId="7" fillId="7" borderId="14" xfId="0" applyFont="true" applyBorder="true" applyAlignment="true" applyProtection="true">
      <alignment horizontal="left" vertical="center" textRotation="0" wrapText="true" indent="4" shrinkToFit="false"/>
      <protection locked="true" hidden="false"/>
    </xf>
    <xf numFmtId="165" fontId="7" fillId="14" borderId="14" xfId="0" applyFont="true" applyBorder="true" applyAlignment="true" applyProtection="true">
      <alignment horizontal="left" vertical="center" textRotation="0" wrapText="true" indent="0" shrinkToFit="false"/>
      <protection locked="true" hidden="false"/>
    </xf>
    <xf numFmtId="165" fontId="33" fillId="0" borderId="19" xfId="0" applyFont="true" applyBorder="true" applyAlignment="true" applyProtection="true">
      <alignment horizontal="general" vertical="center" textRotation="0" wrapText="true" indent="0" shrinkToFit="false"/>
      <protection locked="true" hidden="false"/>
    </xf>
    <xf numFmtId="165" fontId="7" fillId="7" borderId="14" xfId="0" applyFont="true" applyBorder="true" applyAlignment="true" applyProtection="true">
      <alignment horizontal="left" vertical="center" textRotation="0" wrapText="true" indent="5" shrinkToFit="false"/>
      <protection locked="true" hidden="false"/>
    </xf>
    <xf numFmtId="165" fontId="7" fillId="14" borderId="14" xfId="0" applyFont="true" applyBorder="true" applyAlignment="true" applyProtection="true">
      <alignment horizontal="left" vertical="center" textRotation="0" wrapText="true" indent="6" shrinkToFit="false"/>
      <protection locked="true" hidden="false"/>
    </xf>
    <xf numFmtId="171" fontId="7" fillId="10" borderId="14" xfId="0" applyFont="true" applyBorder="true" applyAlignment="true" applyProtection="true">
      <alignment horizontal="right" vertical="center" textRotation="0" wrapText="true" indent="0" shrinkToFit="false"/>
      <protection locked="false" hidden="false"/>
    </xf>
    <xf numFmtId="171" fontId="7" fillId="0" borderId="14" xfId="0" applyFont="true" applyBorder="true" applyAlignment="true" applyProtection="true">
      <alignment horizontal="right" vertical="center" textRotation="0" wrapText="true" indent="0" shrinkToFit="false"/>
      <protection locked="true" hidden="false"/>
    </xf>
    <xf numFmtId="169" fontId="7" fillId="10" borderId="14" xfId="0" applyFont="true" applyBorder="true" applyAlignment="true" applyProtection="true">
      <alignment horizontal="right" vertical="center" textRotation="0" wrapText="true" indent="0" shrinkToFit="false"/>
      <protection locked="false" hidden="false"/>
    </xf>
    <xf numFmtId="174" fontId="0" fillId="13" borderId="14" xfId="0" applyFont="true" applyBorder="true" applyAlignment="true" applyProtection="true">
      <alignment horizontal="center" vertical="center" textRotation="0" wrapText="true" indent="0" shrinkToFit="false"/>
      <protection locked="false" hidden="false"/>
    </xf>
    <xf numFmtId="165" fontId="57" fillId="0" borderId="14" xfId="0" applyFont="true" applyBorder="true" applyAlignment="true" applyProtection="true">
      <alignment horizontal="left" vertical="top" textRotation="0" wrapText="true" indent="0" shrinkToFit="false"/>
      <protection locked="true" hidden="false"/>
    </xf>
    <xf numFmtId="171" fontId="33" fillId="0" borderId="14" xfId="0" applyFont="true" applyBorder="true" applyAlignment="true" applyProtection="true">
      <alignment horizontal="center" vertical="center" textRotation="0" wrapText="true" indent="0" shrinkToFit="false"/>
      <protection locked="true" hidden="false"/>
    </xf>
    <xf numFmtId="164" fontId="72" fillId="15" borderId="15" xfId="0" applyFont="true" applyBorder="true" applyAlignment="true" applyProtection="true">
      <alignment horizontal="left" vertical="center" textRotation="0" wrapText="false" indent="0" shrinkToFit="false"/>
      <protection locked="true" hidden="false"/>
    </xf>
    <xf numFmtId="164" fontId="56" fillId="15" borderId="12" xfId="0" applyFont="true" applyBorder="true" applyAlignment="true" applyProtection="true">
      <alignment horizontal="left" vertical="center" textRotation="0" wrapText="false" indent="6" shrinkToFit="false"/>
      <protection locked="true" hidden="false"/>
    </xf>
    <xf numFmtId="164" fontId="7" fillId="15" borderId="21" xfId="0" applyFont="true" applyBorder="true" applyAlignment="true" applyProtection="true">
      <alignment horizontal="center" vertical="center" textRotation="0" wrapText="true" indent="0" shrinkToFit="false"/>
      <protection locked="true" hidden="false"/>
    </xf>
    <xf numFmtId="164" fontId="56" fillId="15" borderId="12" xfId="0" applyFont="true" applyBorder="true" applyAlignment="true" applyProtection="true">
      <alignment horizontal="left" vertical="center" textRotation="0" wrapText="false" indent="5" shrinkToFit="false"/>
      <protection locked="true" hidden="false"/>
    </xf>
    <xf numFmtId="164" fontId="0" fillId="15" borderId="12" xfId="0" applyFont="true" applyBorder="true" applyAlignment="true" applyProtection="true">
      <alignment horizontal="center" vertical="center" textRotation="0" wrapText="true" indent="0" shrinkToFit="false"/>
      <protection locked="true" hidden="false"/>
    </xf>
    <xf numFmtId="164" fontId="0" fillId="15" borderId="21" xfId="0" applyFont="true" applyBorder="true" applyAlignment="true" applyProtection="true">
      <alignment horizontal="center" vertical="center" textRotation="0" wrapText="true" indent="0" shrinkToFit="false"/>
      <protection locked="true" hidden="false"/>
    </xf>
    <xf numFmtId="164" fontId="78" fillId="0" borderId="0" xfId="0" applyFont="true" applyBorder="true" applyAlignment="true" applyProtection="true">
      <alignment horizontal="general" vertical="top" textRotation="0" wrapText="false" indent="0" shrinkToFit="false"/>
      <protection locked="true" hidden="false"/>
    </xf>
    <xf numFmtId="164" fontId="56" fillId="15" borderId="12" xfId="0" applyFont="true" applyBorder="true" applyAlignment="true" applyProtection="true">
      <alignment horizontal="left" vertical="center" textRotation="0" wrapText="false" indent="4" shrinkToFit="false"/>
      <protection locked="true" hidden="false"/>
    </xf>
    <xf numFmtId="164" fontId="79" fillId="0" borderId="0" xfId="0" applyFont="true" applyBorder="true" applyAlignment="true" applyProtection="true">
      <alignment horizontal="general" vertical="top" textRotation="0" wrapText="false" indent="0" shrinkToFit="false"/>
      <protection locked="true" hidden="false"/>
    </xf>
    <xf numFmtId="164" fontId="80" fillId="0" borderId="16" xfId="0" applyFont="true" applyBorder="true" applyAlignment="true" applyProtection="true">
      <alignment horizontal="left" vertical="center" textRotation="0" wrapText="false" indent="0" shrinkToFit="false"/>
      <protection locked="true" hidden="false"/>
    </xf>
    <xf numFmtId="164" fontId="33" fillId="0" borderId="16" xfId="0" applyFont="true" applyBorder="true" applyAlignment="true" applyProtection="true">
      <alignment horizontal="left" vertical="center" textRotation="0" wrapText="false" indent="3" shrinkToFit="false"/>
      <protection locked="true" hidden="false"/>
    </xf>
    <xf numFmtId="164" fontId="33" fillId="0" borderId="16" xfId="0" applyFont="true" applyBorder="true" applyAlignment="true" applyProtection="true">
      <alignment horizontal="center" vertical="center" textRotation="0" wrapText="true" indent="0" shrinkToFit="false"/>
      <protection locked="true" hidden="false"/>
    </xf>
    <xf numFmtId="164" fontId="33" fillId="0" borderId="0" xfId="0" applyFont="true" applyBorder="true" applyAlignment="true" applyProtection="true">
      <alignment horizontal="left" vertical="center" textRotation="0" wrapText="false" indent="0" shrinkToFit="false"/>
      <protection locked="true" hidden="false"/>
    </xf>
    <xf numFmtId="164" fontId="80" fillId="0" borderId="0" xfId="0" applyFont="true" applyBorder="true" applyAlignment="true" applyProtection="true">
      <alignment horizontal="left" vertical="center" textRotation="0" wrapText="false" indent="0" shrinkToFit="false"/>
      <protection locked="true" hidden="false"/>
    </xf>
    <xf numFmtId="164" fontId="33" fillId="0" borderId="0" xfId="0" applyFont="true" applyBorder="true" applyAlignment="true" applyProtection="true">
      <alignment horizontal="left" vertical="center" textRotation="0" wrapText="false" indent="2" shrinkToFit="false"/>
      <protection locked="true" hidden="false"/>
    </xf>
    <xf numFmtId="164" fontId="33" fillId="0" borderId="0" xfId="0" applyFont="true" applyBorder="true" applyAlignment="true" applyProtection="true">
      <alignment horizontal="center" vertical="center" textRotation="0" wrapText="true" indent="0" shrinkToFit="false"/>
      <protection locked="true" hidden="false"/>
    </xf>
    <xf numFmtId="164" fontId="33" fillId="0" borderId="0" xfId="0" applyFont="true" applyBorder="true" applyAlignment="true" applyProtection="true">
      <alignment horizontal="left" vertical="center" textRotation="0" wrapText="false" indent="1" shrinkToFit="false"/>
      <protection locked="true" hidden="false"/>
    </xf>
    <xf numFmtId="171" fontId="31" fillId="0" borderId="14" xfId="0" applyFont="true" applyBorder="true" applyAlignment="true" applyProtection="true">
      <alignment horizontal="right" vertical="center" textRotation="0" wrapText="true" indent="0" shrinkToFit="false"/>
      <protection locked="true" hidden="false"/>
    </xf>
    <xf numFmtId="169" fontId="31" fillId="0" borderId="14" xfId="0" applyFont="true" applyBorder="true" applyAlignment="true" applyProtection="true">
      <alignment horizontal="right" vertical="center" textRotation="0" wrapText="true" indent="0" shrinkToFit="false"/>
      <protection locked="true" hidden="false"/>
    </xf>
    <xf numFmtId="174" fontId="31" fillId="0" borderId="14" xfId="0" applyFont="true" applyBorder="true" applyAlignment="true" applyProtection="true">
      <alignment horizontal="center" vertical="center" textRotation="0" wrapText="true" indent="0" shrinkToFit="false"/>
      <protection locked="true" hidden="false"/>
    </xf>
    <xf numFmtId="164" fontId="31" fillId="0" borderId="14" xfId="0" applyFont="true" applyBorder="true" applyAlignment="true" applyProtection="true">
      <alignment horizontal="center" vertical="center" textRotation="0" wrapText="true" indent="0" shrinkToFit="false"/>
      <protection locked="true" hidden="false"/>
    </xf>
    <xf numFmtId="164" fontId="31" fillId="0" borderId="14" xfId="0" applyFont="true" applyBorder="true" applyAlignment="true" applyProtection="true">
      <alignment horizontal="general" vertical="center" textRotation="0" wrapText="true" indent="0" shrinkToFit="false"/>
      <protection locked="true" hidden="false"/>
    </xf>
    <xf numFmtId="165" fontId="81" fillId="0" borderId="0" xfId="0" applyFont="true" applyBorder="true" applyAlignment="true" applyProtection="true">
      <alignment horizontal="general" vertical="center" textRotation="0" wrapText="true" indent="0" shrinkToFit="false"/>
      <protection locked="true" hidden="false"/>
    </xf>
    <xf numFmtId="165" fontId="78" fillId="7" borderId="0" xfId="0" applyFont="true" applyBorder="true" applyAlignment="true" applyProtection="true">
      <alignment horizontal="general" vertical="center" textRotation="0" wrapText="true" indent="0" shrinkToFit="false"/>
      <protection locked="true" hidden="false"/>
    </xf>
    <xf numFmtId="165" fontId="7" fillId="7" borderId="0" xfId="0" applyFont="true" applyBorder="true" applyAlignment="true" applyProtection="true">
      <alignment horizontal="left" vertical="center" textRotation="0" wrapText="true" indent="0" shrinkToFit="false"/>
      <protection locked="true" hidden="false"/>
    </xf>
    <xf numFmtId="165" fontId="18" fillId="7" borderId="0" xfId="0" applyFont="true" applyBorder="true" applyAlignment="true" applyProtection="true">
      <alignment horizontal="center" vertical="center" textRotation="0" wrapText="true" indent="0" shrinkToFit="false"/>
      <protection locked="true" hidden="false"/>
    </xf>
    <xf numFmtId="165" fontId="0" fillId="7" borderId="14" xfId="0" applyFont="true" applyBorder="true" applyAlignment="true" applyProtection="true">
      <alignment horizontal="right" vertical="center" textRotation="0" wrapText="true" indent="1" shrinkToFit="false"/>
      <protection locked="true" hidden="false"/>
    </xf>
    <xf numFmtId="165" fontId="0" fillId="0" borderId="12" xfId="0" applyFont="true" applyBorder="true" applyAlignment="true" applyProtection="true">
      <alignment horizontal="general" vertical="center" textRotation="0" wrapText="false" indent="0" shrinkToFit="false"/>
      <protection locked="true" hidden="false"/>
    </xf>
    <xf numFmtId="172" fontId="7" fillId="12" borderId="14" xfId="0" applyFont="true" applyBorder="true" applyAlignment="true" applyProtection="true">
      <alignment horizontal="left" vertical="center" textRotation="0" wrapText="true" indent="1" shrinkToFit="false"/>
      <protection locked="true" hidden="false"/>
    </xf>
    <xf numFmtId="165" fontId="82" fillId="0" borderId="0" xfId="0" applyFont="true" applyBorder="true" applyAlignment="true" applyProtection="true">
      <alignment horizontal="general" vertical="center" textRotation="0" wrapText="false" indent="0" shrinkToFit="false"/>
      <protection locked="true" hidden="false"/>
    </xf>
    <xf numFmtId="174" fontId="7" fillId="12" borderId="14" xfId="0" applyFont="true" applyBorder="true" applyAlignment="true" applyProtection="true">
      <alignment horizontal="left" vertical="center" textRotation="0" wrapText="true" indent="1" shrinkToFit="false"/>
      <protection locked="true" hidden="false"/>
    </xf>
    <xf numFmtId="165" fontId="7" fillId="7" borderId="23" xfId="0" applyFont="true" applyBorder="true" applyAlignment="true" applyProtection="true">
      <alignment horizontal="general" vertical="center" textRotation="0" wrapText="true" indent="0" shrinkToFit="false"/>
      <protection locked="true" hidden="false"/>
    </xf>
    <xf numFmtId="165" fontId="47" fillId="0" borderId="23" xfId="0" applyFont="true" applyBorder="true" applyAlignment="true" applyProtection="true">
      <alignment horizontal="center" vertical="center" textRotation="0" wrapText="true" indent="0" shrinkToFit="false"/>
      <protection locked="true" hidden="false"/>
    </xf>
    <xf numFmtId="165" fontId="7" fillId="7" borderId="14" xfId="0" applyFont="true" applyBorder="true" applyAlignment="true" applyProtection="true">
      <alignment horizontal="left" vertical="center" textRotation="0" wrapText="true" indent="0" shrinkToFit="false"/>
      <protection locked="true" hidden="false"/>
    </xf>
    <xf numFmtId="165" fontId="7" fillId="0" borderId="27" xfId="0" applyFont="true" applyBorder="true" applyAlignment="true" applyProtection="true">
      <alignment horizontal="general" vertical="center" textRotation="0" wrapText="true" indent="0" shrinkToFit="false"/>
      <protection locked="true" hidden="false"/>
    </xf>
    <xf numFmtId="164" fontId="56" fillId="15" borderId="14" xfId="0" applyFont="true" applyBorder="true" applyAlignment="true" applyProtection="true">
      <alignment horizontal="center" vertical="center" textRotation="90" wrapText="true" indent="0" shrinkToFit="false"/>
      <protection locked="true" hidden="false"/>
    </xf>
    <xf numFmtId="165" fontId="7" fillId="0" borderId="32" xfId="0" applyFont="true" applyBorder="true" applyAlignment="true" applyProtection="true">
      <alignment horizontal="general" vertical="center" textRotation="0" wrapText="true" indent="0" shrinkToFit="false"/>
      <protection locked="true" hidden="false"/>
    </xf>
    <xf numFmtId="165" fontId="7" fillId="0" borderId="20" xfId="0" applyFont="true" applyBorder="true" applyAlignment="true" applyProtection="true">
      <alignment horizontal="general" vertical="center" textRotation="0" wrapText="true" indent="0" shrinkToFit="false"/>
      <protection locked="true" hidden="false"/>
    </xf>
    <xf numFmtId="164" fontId="49" fillId="0" borderId="0" xfId="0" applyFont="true" applyBorder="true" applyAlignment="true" applyProtection="true">
      <alignment horizontal="general" vertical="center" textRotation="0" wrapText="true" indent="0" shrinkToFit="false"/>
      <protection locked="true" hidden="false"/>
    </xf>
    <xf numFmtId="165" fontId="83" fillId="7" borderId="0" xfId="0" applyFont="true" applyBorder="true" applyAlignment="true" applyProtection="true">
      <alignment horizontal="general" vertical="center" textRotation="0" wrapText="true" indent="0" shrinkToFit="false"/>
      <protection locked="true" hidden="false"/>
    </xf>
    <xf numFmtId="165" fontId="79" fillId="7" borderId="0" xfId="0" applyFont="true" applyBorder="true" applyAlignment="true" applyProtection="true">
      <alignment horizontal="general" vertical="center" textRotation="0" wrapText="true" indent="0" shrinkToFit="false"/>
      <protection locked="true" hidden="false"/>
    </xf>
    <xf numFmtId="164" fontId="77" fillId="7" borderId="16" xfId="0" applyFont="true" applyBorder="true" applyAlignment="true" applyProtection="true">
      <alignment horizontal="left" vertical="center" textRotation="0" wrapText="true" indent="0" shrinkToFit="false"/>
      <protection locked="true" hidden="false"/>
    </xf>
    <xf numFmtId="164" fontId="77" fillId="7" borderId="16" xfId="0" applyFont="true" applyBorder="true" applyAlignment="true" applyProtection="true">
      <alignment horizontal="center" vertical="center" textRotation="0" wrapText="true" indent="0" shrinkToFit="false"/>
      <protection locked="true" hidden="false"/>
    </xf>
    <xf numFmtId="172" fontId="33" fillId="7" borderId="16" xfId="0" applyFont="true" applyBorder="true" applyAlignment="true" applyProtection="true">
      <alignment horizontal="center" vertical="center" textRotation="0" wrapText="true" indent="0" shrinkToFit="false"/>
      <protection locked="true" hidden="false"/>
    </xf>
    <xf numFmtId="172" fontId="77" fillId="7" borderId="16" xfId="0" applyFont="true" applyBorder="true" applyAlignment="true" applyProtection="true">
      <alignment horizontal="center" vertical="center" textRotation="0" wrapText="true" indent="0" shrinkToFit="false"/>
      <protection locked="true" hidden="false"/>
    </xf>
    <xf numFmtId="171" fontId="7" fillId="0" borderId="27" xfId="0" applyFont="true" applyBorder="true" applyAlignment="true" applyProtection="true">
      <alignment horizontal="right" vertical="center" textRotation="0" wrapText="true" indent="0" shrinkToFit="false"/>
      <protection locked="true" hidden="false"/>
    </xf>
    <xf numFmtId="171" fontId="7" fillId="0" borderId="20" xfId="0" applyFont="true" applyBorder="true" applyAlignment="true" applyProtection="true">
      <alignment horizontal="right" vertical="center" textRotation="0" wrapText="true" indent="0" shrinkToFit="false"/>
      <protection locked="true" hidden="false"/>
    </xf>
    <xf numFmtId="165" fontId="7" fillId="0" borderId="0" xfId="0" applyFont="true" applyBorder="true" applyAlignment="true" applyProtection="true">
      <alignment horizontal="left" vertical="top" textRotation="0" wrapText="true" indent="0" shrinkToFit="false"/>
      <protection locked="true" hidden="false"/>
    </xf>
    <xf numFmtId="165" fontId="7" fillId="0" borderId="14" xfId="0" applyFont="true" applyBorder="true" applyAlignment="true" applyProtection="true">
      <alignment horizontal="center" vertical="center" textRotation="0" wrapText="false" indent="0" shrinkToFit="false"/>
      <protection locked="true" hidden="false"/>
    </xf>
    <xf numFmtId="165" fontId="7" fillId="0" borderId="0" xfId="0" applyFont="true" applyBorder="true" applyAlignment="true" applyProtection="true">
      <alignment horizontal="center" vertical="center" textRotation="0" wrapText="false" indent="0" shrinkToFit="false"/>
      <protection locked="true" hidden="false"/>
    </xf>
    <xf numFmtId="165" fontId="49" fillId="0" borderId="0" xfId="0" applyFont="true" applyBorder="true" applyAlignment="true" applyProtection="true">
      <alignment horizontal="left" vertical="center" textRotation="0" wrapText="false" indent="1" shrinkToFit="false"/>
      <protection locked="true" hidden="false"/>
    </xf>
    <xf numFmtId="165" fontId="49" fillId="0" borderId="0" xfId="0" applyFont="true" applyBorder="true" applyAlignment="true" applyProtection="true">
      <alignment horizontal="center" vertical="center" textRotation="0" wrapText="false" indent="0" shrinkToFit="false"/>
      <protection locked="true" hidden="false"/>
    </xf>
    <xf numFmtId="165" fontId="49" fillId="0" borderId="0" xfId="0" applyFont="true" applyBorder="true" applyAlignment="true" applyProtection="true">
      <alignment horizontal="left" vertical="center" textRotation="0" wrapText="true" indent="0" shrinkToFit="false"/>
      <protection locked="true" hidden="false"/>
    </xf>
    <xf numFmtId="164" fontId="49" fillId="0" borderId="0" xfId="0" applyFont="true" applyBorder="true" applyAlignment="true" applyProtection="true">
      <alignment horizontal="left" vertical="center" textRotation="0" wrapText="false" indent="0" shrinkToFit="false"/>
      <protection locked="true" hidden="false"/>
    </xf>
    <xf numFmtId="164" fontId="7" fillId="0" borderId="14"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9" fontId="7" fillId="0" borderId="14" xfId="0" applyFont="true" applyBorder="true" applyAlignment="true" applyProtection="true">
      <alignment horizontal="right" vertical="center" textRotation="0" wrapText="true" indent="0" shrinkToFit="false"/>
      <protection locked="true" hidden="false"/>
    </xf>
    <xf numFmtId="165" fontId="7" fillId="0" borderId="21" xfId="0" applyFont="true" applyBorder="true" applyAlignment="true" applyProtection="true">
      <alignment horizontal="center" vertical="center" textRotation="0" wrapText="true" indent="0" shrinkToFit="false"/>
      <protection locked="true" hidden="false"/>
    </xf>
    <xf numFmtId="165" fontId="33" fillId="0" borderId="14" xfId="0" applyFont="true" applyBorder="true" applyAlignment="true" applyProtection="true">
      <alignment horizontal="left" vertical="center" textRotation="0" wrapText="true" indent="4" shrinkToFit="false"/>
      <protection locked="true" hidden="false"/>
    </xf>
    <xf numFmtId="165" fontId="33" fillId="0" borderId="14" xfId="0" applyFont="true" applyBorder="true" applyAlignment="true" applyProtection="true">
      <alignment horizontal="left" vertical="center" textRotation="0" wrapText="true" indent="6" shrinkToFit="false"/>
      <protection locked="true" hidden="false"/>
    </xf>
    <xf numFmtId="165" fontId="33" fillId="0" borderId="14" xfId="0" applyFont="true" applyBorder="true" applyAlignment="true" applyProtection="true">
      <alignment horizontal="left" vertical="center" textRotation="0" wrapText="true" indent="0" shrinkToFit="false"/>
      <protection locked="true" hidden="false"/>
    </xf>
    <xf numFmtId="165" fontId="33" fillId="0" borderId="14" xfId="0" applyFont="true" applyBorder="true" applyAlignment="true" applyProtection="true">
      <alignment horizontal="general" vertical="top" textRotation="0" wrapText="true" indent="0" shrinkToFit="false"/>
      <protection locked="true" hidden="false"/>
    </xf>
    <xf numFmtId="164" fontId="80" fillId="0" borderId="15" xfId="0" applyFont="true" applyBorder="true" applyAlignment="true" applyProtection="true">
      <alignment horizontal="left" vertical="center" textRotation="0" wrapText="false" indent="0" shrinkToFit="false"/>
      <protection locked="true" hidden="false"/>
    </xf>
    <xf numFmtId="164" fontId="33" fillId="0" borderId="12" xfId="0" applyFont="true" applyBorder="true" applyAlignment="true" applyProtection="true">
      <alignment horizontal="left" vertical="center" textRotation="0" wrapText="false" indent="4" shrinkToFit="false"/>
      <protection locked="true" hidden="false"/>
    </xf>
    <xf numFmtId="164" fontId="33" fillId="0" borderId="12" xfId="0" applyFont="true" applyBorder="true" applyAlignment="true" applyProtection="true">
      <alignment horizontal="center" vertical="center" textRotation="0" wrapText="true" indent="0" shrinkToFit="false"/>
      <protection locked="true" hidden="false"/>
    </xf>
    <xf numFmtId="164" fontId="33" fillId="0" borderId="21" xfId="0" applyFont="true" applyBorder="true" applyAlignment="true" applyProtection="true">
      <alignment horizontal="center" vertical="center" textRotation="0" wrapText="true" indent="0" shrinkToFit="false"/>
      <protection locked="true" hidden="false"/>
    </xf>
    <xf numFmtId="164" fontId="33" fillId="0" borderId="0" xfId="0" applyFont="true" applyBorder="true" applyAlignment="true" applyProtection="true">
      <alignment horizontal="general" vertical="center" textRotation="0" wrapText="true" indent="0" shrinkToFit="false"/>
      <protection locked="true" hidden="false"/>
    </xf>
    <xf numFmtId="165" fontId="31" fillId="0" borderId="0" xfId="0" applyFont="true" applyBorder="true" applyAlignment="true" applyProtection="true">
      <alignment horizontal="general" vertical="top" textRotation="0" wrapText="true" indent="0" shrinkToFit="false"/>
      <protection locked="true" hidden="false"/>
    </xf>
    <xf numFmtId="169" fontId="7" fillId="10" borderId="15" xfId="0" applyFont="true" applyBorder="true" applyAlignment="true" applyProtection="true">
      <alignment horizontal="right" vertical="center" textRotation="0" wrapText="true" indent="0" shrinkToFit="false"/>
      <protection locked="false" hidden="false"/>
    </xf>
    <xf numFmtId="171" fontId="7" fillId="10" borderId="21" xfId="0" applyFont="true" applyBorder="true" applyAlignment="true" applyProtection="true">
      <alignment horizontal="right" vertical="center" textRotation="0" wrapText="true" indent="0" shrinkToFit="false"/>
      <protection locked="false" hidden="false"/>
    </xf>
    <xf numFmtId="165" fontId="57" fillId="0" borderId="27" xfId="0" applyFont="true" applyBorder="true" applyAlignment="true" applyProtection="true">
      <alignment horizontal="general" vertical="top" textRotation="0" wrapText="true" indent="0" shrinkToFit="false"/>
      <protection locked="true" hidden="false"/>
    </xf>
    <xf numFmtId="165" fontId="7" fillId="10" borderId="14" xfId="0" applyFont="true" applyBorder="true" applyAlignment="true" applyProtection="true">
      <alignment horizontal="left" vertical="center" textRotation="0" wrapText="true" indent="7" shrinkToFit="false"/>
      <protection locked="false" hidden="false"/>
    </xf>
    <xf numFmtId="171" fontId="33" fillId="0" borderId="15" xfId="0" applyFont="true" applyBorder="true" applyAlignment="true" applyProtection="true">
      <alignment horizontal="center" vertical="center" textRotation="0" wrapText="true" indent="0" shrinkToFit="false"/>
      <protection locked="true" hidden="false"/>
    </xf>
    <xf numFmtId="171" fontId="7" fillId="0" borderId="21" xfId="0" applyFont="true" applyBorder="true" applyAlignment="true" applyProtection="true">
      <alignment horizontal="right" vertical="center" textRotation="0" wrapText="true" indent="0" shrinkToFit="false"/>
      <protection locked="true" hidden="false"/>
    </xf>
    <xf numFmtId="165" fontId="7" fillId="15" borderId="12" xfId="0" applyFont="true" applyBorder="true" applyAlignment="true" applyProtection="true">
      <alignment horizontal="left" vertical="center" textRotation="0" wrapText="true" indent="6" shrinkToFit="false"/>
      <protection locked="true" hidden="false"/>
    </xf>
    <xf numFmtId="171" fontId="7" fillId="15" borderId="12" xfId="0" applyFont="true" applyBorder="true" applyAlignment="true" applyProtection="true">
      <alignment horizontal="right" vertical="center" textRotation="0" wrapText="true" indent="0" shrinkToFit="false"/>
      <protection locked="true" hidden="false"/>
    </xf>
    <xf numFmtId="171" fontId="33" fillId="15" borderId="12" xfId="0" applyFont="true" applyBorder="true" applyAlignment="true" applyProtection="true">
      <alignment horizontal="center" vertical="center" textRotation="0" wrapText="true" indent="0" shrinkToFit="false"/>
      <protection locked="true" hidden="false"/>
    </xf>
    <xf numFmtId="171" fontId="7" fillId="15" borderId="21" xfId="0" applyFont="true" applyBorder="true" applyAlignment="true" applyProtection="true">
      <alignment horizontal="right" vertical="center" textRotation="0" wrapText="true" indent="0" shrinkToFit="false"/>
      <protection locked="true" hidden="false"/>
    </xf>
    <xf numFmtId="164" fontId="7" fillId="15" borderId="23" xfId="0" applyFont="true" applyBorder="true" applyAlignment="true" applyProtection="true">
      <alignment horizontal="center" vertical="center" textRotation="0" wrapText="true" indent="0" shrinkToFit="false"/>
      <protection locked="true" hidden="false"/>
    </xf>
    <xf numFmtId="165" fontId="7" fillId="12" borderId="21" xfId="0" applyFont="true" applyBorder="true" applyAlignment="true" applyProtection="true">
      <alignment horizontal="left" vertical="center" textRotation="0" wrapText="true" indent="0" shrinkToFit="false"/>
      <protection locked="true" hidden="false"/>
    </xf>
    <xf numFmtId="165" fontId="50" fillId="7" borderId="0" xfId="0" applyFont="true" applyBorder="true" applyAlignment="true" applyProtection="true">
      <alignment horizontal="center" vertical="center" textRotation="0" wrapText="true" indent="0" shrinkToFit="false"/>
      <protection locked="true" hidden="false"/>
    </xf>
    <xf numFmtId="165" fontId="33" fillId="0" borderId="21" xfId="0" applyFont="true" applyBorder="true" applyAlignment="true" applyProtection="true">
      <alignment horizontal="left" vertical="center" textRotation="0" wrapText="true" indent="0" shrinkToFit="false"/>
      <protection locked="true" hidden="false"/>
    </xf>
    <xf numFmtId="165" fontId="33" fillId="0" borderId="14" xfId="0" applyFont="true" applyBorder="true" applyAlignment="true" applyProtection="true">
      <alignment horizontal="left" vertical="center" textRotation="0" wrapText="true" indent="5" shrinkToFit="false"/>
      <protection locked="true" hidden="false"/>
    </xf>
    <xf numFmtId="165" fontId="33" fillId="0" borderId="19" xfId="0" applyFont="true" applyBorder="true" applyAlignment="true" applyProtection="true">
      <alignment horizontal="center" vertical="top" textRotation="0" wrapText="true" indent="0" shrinkToFit="false"/>
      <protection locked="true" hidden="false"/>
    </xf>
    <xf numFmtId="164" fontId="7" fillId="13" borderId="14" xfId="0" applyFont="true" applyBorder="true" applyAlignment="true" applyProtection="true">
      <alignment horizontal="left" vertical="center" textRotation="0" wrapText="true" indent="6" shrinkToFit="false"/>
      <protection locked="false" hidden="false"/>
    </xf>
    <xf numFmtId="165" fontId="47" fillId="0" borderId="14" xfId="0" applyFont="true" applyBorder="true" applyAlignment="true" applyProtection="true">
      <alignment horizontal="center" vertical="center" textRotation="0" wrapText="true" indent="0" shrinkToFit="false"/>
      <protection locked="true" hidden="false"/>
    </xf>
    <xf numFmtId="165" fontId="7" fillId="0" borderId="14" xfId="0" applyFont="true" applyBorder="true" applyAlignment="true" applyProtection="true">
      <alignment horizontal="left" vertical="center" textRotation="0" wrapText="true" indent="4" shrinkToFit="false"/>
      <protection locked="true" hidden="false"/>
    </xf>
    <xf numFmtId="169" fontId="7" fillId="15" borderId="21" xfId="0" applyFont="true" applyBorder="true" applyAlignment="true" applyProtection="true">
      <alignment horizontal="right" vertical="center" textRotation="0" wrapText="true" indent="0" shrinkToFit="false"/>
      <protection locked="true" hidden="false"/>
    </xf>
    <xf numFmtId="164" fontId="56" fillId="15" borderId="15" xfId="0" applyFont="true" applyBorder="true" applyAlignment="true" applyProtection="true">
      <alignment horizontal="left" vertical="center" textRotation="0" wrapText="false" indent="0" shrinkToFit="false"/>
      <protection locked="true" hidden="false"/>
    </xf>
    <xf numFmtId="169" fontId="7" fillId="15" borderId="12" xfId="0" applyFont="true" applyBorder="true" applyAlignment="true" applyProtection="true">
      <alignment horizontal="right" vertical="center" textRotation="0" wrapText="true" indent="0" shrinkToFit="false"/>
      <protection locked="true" hidden="false"/>
    </xf>
    <xf numFmtId="171" fontId="7" fillId="0" borderId="32" xfId="0" applyFont="true" applyBorder="true" applyAlignment="true" applyProtection="true">
      <alignment horizontal="right" vertical="center" textRotation="0" wrapText="true" indent="0" shrinkToFit="false"/>
      <protection locked="true" hidden="false"/>
    </xf>
    <xf numFmtId="164" fontId="56" fillId="15" borderId="15" xfId="0" applyFont="true" applyBorder="true" applyAlignment="true" applyProtection="true">
      <alignment horizontal="left" vertical="center" textRotation="0" wrapText="false" indent="1" shrinkToFit="false"/>
      <protection locked="true" hidden="false"/>
    </xf>
    <xf numFmtId="171" fontId="33" fillId="15" borderId="21" xfId="0" applyFont="true" applyBorder="true" applyAlignment="true" applyProtection="true">
      <alignment horizontal="center" vertical="center" textRotation="0" wrapText="true" indent="0" shrinkToFit="false"/>
      <protection locked="true" hidden="false"/>
    </xf>
    <xf numFmtId="164" fontId="56" fillId="15" borderId="15" xfId="0" applyFont="true" applyBorder="true" applyAlignment="true" applyProtection="true">
      <alignment horizontal="general" vertical="center" textRotation="0" wrapText="true" indent="0" shrinkToFit="false"/>
      <protection locked="true" hidden="false"/>
    </xf>
    <xf numFmtId="164" fontId="56" fillId="15" borderId="12" xfId="0" applyFont="true" applyBorder="true" applyAlignment="true" applyProtection="true">
      <alignment horizontal="general" vertical="center" textRotation="0" wrapText="true" indent="0" shrinkToFit="false"/>
      <protection locked="true" hidden="false"/>
    </xf>
    <xf numFmtId="164" fontId="33" fillId="0" borderId="19" xfId="0" applyFont="true" applyBorder="true" applyAlignment="true" applyProtection="true">
      <alignment horizontal="general" vertical="top" textRotation="0" wrapText="false" indent="0" shrinkToFit="false"/>
      <protection locked="true" hidden="false"/>
    </xf>
    <xf numFmtId="165" fontId="84" fillId="0" borderId="0" xfId="0" applyFont="true" applyBorder="true" applyAlignment="true" applyProtection="true">
      <alignment horizontal="center" vertical="center" textRotation="0" wrapText="true" indent="0" shrinkToFit="false"/>
      <protection locked="true" hidden="false"/>
    </xf>
    <xf numFmtId="164" fontId="33" fillId="0" borderId="0" xfId="0" applyFont="true" applyBorder="true" applyAlignment="true" applyProtection="true">
      <alignment horizontal="left" vertical="center" textRotation="0" wrapText="true" indent="1" shrinkToFit="false"/>
      <protection locked="true" hidden="false"/>
    </xf>
    <xf numFmtId="165" fontId="33" fillId="0" borderId="0" xfId="0" applyFont="true" applyBorder="true" applyAlignment="true" applyProtection="true">
      <alignment horizontal="left" vertical="center" textRotation="0" wrapText="true" indent="4" shrinkToFit="false"/>
      <protection locked="true" hidden="false"/>
    </xf>
    <xf numFmtId="165" fontId="33" fillId="0" borderId="19" xfId="0" applyFont="true" applyBorder="true" applyAlignment="true" applyProtection="true">
      <alignment horizontal="left" vertical="center" textRotation="0" wrapText="true" indent="1" shrinkToFit="false"/>
      <protection locked="true" hidden="false"/>
    </xf>
    <xf numFmtId="171" fontId="33" fillId="0" borderId="14" xfId="0" applyFont="true" applyBorder="true" applyAlignment="true" applyProtection="true">
      <alignment horizontal="right" vertical="center" textRotation="0" wrapText="true" indent="0" shrinkToFit="false"/>
      <protection locked="true" hidden="false"/>
    </xf>
    <xf numFmtId="169" fontId="33" fillId="0" borderId="14" xfId="0" applyFont="true" applyBorder="true" applyAlignment="true" applyProtection="true">
      <alignment horizontal="right" vertical="center" textRotation="0" wrapText="true" indent="0" shrinkToFit="false"/>
      <protection locked="true" hidden="false"/>
    </xf>
    <xf numFmtId="174" fontId="33" fillId="0" borderId="14" xfId="0" applyFont="true" applyBorder="true" applyAlignment="true" applyProtection="true">
      <alignment horizontal="center" vertical="center" textRotation="0" wrapText="true" indent="0" shrinkToFit="false"/>
      <protection locked="true" hidden="false"/>
    </xf>
    <xf numFmtId="165" fontId="31" fillId="0" borderId="0" xfId="0" applyFont="true" applyBorder="true" applyAlignment="true" applyProtection="true">
      <alignment horizontal="left" vertical="center" textRotation="0" wrapText="false" indent="0" shrinkToFit="false"/>
      <protection locked="true" hidden="false"/>
    </xf>
    <xf numFmtId="164" fontId="31" fillId="0" borderId="0" xfId="0" applyFont="true" applyBorder="true" applyAlignment="true" applyProtection="true">
      <alignment horizontal="left" vertical="center" textRotation="0" wrapText="false" indent="0" shrinkToFit="false"/>
      <protection locked="true" hidden="false"/>
    </xf>
    <xf numFmtId="165" fontId="81" fillId="0" borderId="0" xfId="0" applyFont="true" applyBorder="true" applyAlignment="true" applyProtection="true">
      <alignment horizontal="left" vertical="center" textRotation="0" wrapText="false" indent="0" shrinkToFit="false"/>
      <protection locked="true" hidden="false"/>
    </xf>
    <xf numFmtId="165" fontId="33" fillId="0" borderId="0" xfId="0" applyFont="true" applyBorder="true" applyAlignment="true" applyProtection="true">
      <alignment horizontal="left" vertical="center" textRotation="0" wrapText="false" indent="0" shrinkToFit="false"/>
      <protection locked="true" hidden="false"/>
    </xf>
    <xf numFmtId="165" fontId="81" fillId="7" borderId="0" xfId="0" applyFont="true" applyBorder="true" applyAlignment="true" applyProtection="true">
      <alignment horizontal="general" vertical="center" textRotation="0" wrapText="true" indent="0" shrinkToFit="false"/>
      <protection locked="true" hidden="false"/>
    </xf>
    <xf numFmtId="165" fontId="0" fillId="7" borderId="21" xfId="0" applyFont="true" applyBorder="true" applyAlignment="true" applyProtection="true">
      <alignment horizontal="center" vertical="center" textRotation="0" wrapText="true" indent="0" shrinkToFit="false"/>
      <protection locked="true" hidden="false"/>
    </xf>
    <xf numFmtId="165" fontId="7" fillId="7" borderId="15" xfId="0" applyFont="true" applyBorder="true" applyAlignment="true" applyProtection="true">
      <alignment horizontal="center" vertical="center" textRotation="0" wrapText="true" indent="0" shrinkToFit="false"/>
      <protection locked="true" hidden="false"/>
    </xf>
    <xf numFmtId="165" fontId="0" fillId="7" borderId="27" xfId="0" applyFont="true" applyBorder="true" applyAlignment="true" applyProtection="true">
      <alignment horizontal="center" vertical="center" textRotation="0" wrapText="true" indent="0" shrinkToFit="false"/>
      <protection locked="true" hidden="false"/>
    </xf>
    <xf numFmtId="165" fontId="7" fillId="13" borderId="14" xfId="0" applyFont="true" applyBorder="true" applyAlignment="true" applyProtection="true">
      <alignment horizontal="center" vertical="center" textRotation="0" wrapText="true" indent="0" shrinkToFit="false"/>
      <protection locked="false" hidden="false"/>
    </xf>
    <xf numFmtId="165" fontId="7" fillId="7" borderId="20" xfId="0" applyFont="true" applyBorder="true" applyAlignment="true" applyProtection="true">
      <alignment horizontal="center" vertical="center" textRotation="0" wrapText="true" indent="0" shrinkToFit="false"/>
      <protection locked="true" hidden="false"/>
    </xf>
    <xf numFmtId="165" fontId="7" fillId="0" borderId="14" xfId="0" applyFont="true" applyBorder="true" applyAlignment="true" applyProtection="true">
      <alignment horizontal="left" vertical="center" textRotation="0" wrapText="true" indent="1" shrinkToFit="false"/>
      <protection locked="true" hidden="false"/>
    </xf>
    <xf numFmtId="164" fontId="7" fillId="15" borderId="15" xfId="0" applyFont="true" applyBorder="true" applyAlignment="true" applyProtection="true">
      <alignment horizontal="center" vertical="center" textRotation="0" wrapText="true" indent="0" shrinkToFit="false"/>
      <protection locked="true" hidden="false"/>
    </xf>
    <xf numFmtId="164" fontId="49" fillId="0" borderId="19" xfId="0" applyFont="true" applyBorder="true" applyAlignment="true" applyProtection="true">
      <alignment horizontal="general" vertical="top" textRotation="0" wrapText="false" indent="0" shrinkToFit="false"/>
      <protection locked="true" hidden="false"/>
    </xf>
    <xf numFmtId="165" fontId="31" fillId="0" borderId="15" xfId="0" applyFont="true" applyBorder="true" applyAlignment="true" applyProtection="true">
      <alignment horizontal="center" vertical="center" textRotation="0" wrapText="false" indent="0" shrinkToFit="false"/>
      <protection locked="true" hidden="false"/>
    </xf>
    <xf numFmtId="165" fontId="7" fillId="10" borderId="14" xfId="0" applyFont="true" applyBorder="true" applyAlignment="true" applyProtection="true">
      <alignment horizontal="left" vertical="center" textRotation="0" wrapText="true" indent="0" shrinkToFit="false"/>
      <protection locked="false" hidden="false"/>
    </xf>
    <xf numFmtId="164" fontId="7" fillId="10" borderId="14" xfId="0" applyFont="true" applyBorder="true" applyAlignment="true" applyProtection="true">
      <alignment horizontal="left" vertical="center" textRotation="0" wrapText="true" indent="6" shrinkToFit="false"/>
      <protection locked="false" hidden="false"/>
    </xf>
    <xf numFmtId="171" fontId="7" fillId="0" borderId="24" xfId="0" applyFont="true" applyBorder="true" applyAlignment="true" applyProtection="true">
      <alignment horizontal="right" vertical="center" textRotation="0" wrapText="true" indent="0" shrinkToFit="false"/>
      <protection locked="true" hidden="false"/>
    </xf>
    <xf numFmtId="172" fontId="57" fillId="0" borderId="14" xfId="0" applyFont="true" applyBorder="true" applyAlignment="true" applyProtection="true">
      <alignment horizontal="left" vertical="top" textRotation="0" wrapText="true" indent="0" shrinkToFit="false"/>
      <protection locked="true" hidden="false"/>
    </xf>
    <xf numFmtId="171" fontId="7" fillId="0" borderId="30" xfId="0" applyFont="true" applyBorder="true" applyAlignment="true" applyProtection="true">
      <alignment horizontal="right" vertical="center" textRotation="0" wrapText="true" indent="0" shrinkToFit="false"/>
      <protection locked="true" hidden="false"/>
    </xf>
    <xf numFmtId="164" fontId="0" fillId="15" borderId="31" xfId="0" applyFont="true" applyBorder="true" applyAlignment="true" applyProtection="true">
      <alignment horizontal="center" vertical="center" textRotation="0" wrapText="true" indent="0" shrinkToFit="false"/>
      <protection locked="true" hidden="false"/>
    </xf>
    <xf numFmtId="164" fontId="56" fillId="15" borderId="12" xfId="0" applyFont="true" applyBorder="true" applyAlignment="true" applyProtection="true">
      <alignment horizontal="left" vertical="center" textRotation="0" wrapText="false" indent="3" shrinkToFit="false"/>
      <protection locked="true" hidden="false"/>
    </xf>
    <xf numFmtId="165" fontId="85" fillId="0" borderId="0" xfId="0" applyFont="true" applyBorder="true" applyAlignment="true" applyProtection="true">
      <alignment horizontal="general" vertical="center" textRotation="0" wrapText="true" indent="0" shrinkToFit="false"/>
      <protection locked="true" hidden="false"/>
    </xf>
    <xf numFmtId="165" fontId="7" fillId="12" borderId="12" xfId="0" applyFont="true" applyBorder="true" applyAlignment="true" applyProtection="true">
      <alignment horizontal="left" vertical="center" textRotation="0" wrapText="true" indent="0" shrinkToFit="false"/>
      <protection locked="true" hidden="false"/>
    </xf>
    <xf numFmtId="165" fontId="33" fillId="0" borderId="12" xfId="0" applyFont="true" applyBorder="true" applyAlignment="true" applyProtection="true">
      <alignment horizontal="left" vertical="center" textRotation="0" wrapText="true" indent="0" shrinkToFit="false"/>
      <protection locked="true" hidden="false"/>
    </xf>
    <xf numFmtId="164" fontId="7" fillId="14" borderId="12" xfId="0" applyFont="true" applyBorder="true" applyAlignment="true" applyProtection="true">
      <alignment horizontal="center" vertical="center" textRotation="0" wrapText="true" indent="0" shrinkToFit="false"/>
      <protection locked="true" hidden="false"/>
    </xf>
    <xf numFmtId="165" fontId="7" fillId="0" borderId="0" xfId="0" applyFont="true" applyBorder="true" applyAlignment="true" applyProtection="true">
      <alignment horizontal="left" vertical="center" textRotation="0" wrapText="false" indent="0" shrinkToFit="false"/>
      <protection locked="true" hidden="false"/>
    </xf>
    <xf numFmtId="165" fontId="0" fillId="7" borderId="12" xfId="0" applyFont="true" applyBorder="true" applyAlignment="true" applyProtection="true">
      <alignment horizontal="center" vertical="center" textRotation="0" wrapText="true" indent="0" shrinkToFit="false"/>
      <protection locked="true" hidden="false"/>
    </xf>
    <xf numFmtId="165" fontId="0" fillId="7" borderId="17" xfId="0" applyFont="true" applyBorder="true" applyAlignment="true" applyProtection="true">
      <alignment horizontal="center" vertical="center" textRotation="0" wrapText="true" indent="0" shrinkToFit="false"/>
      <protection locked="true" hidden="false"/>
    </xf>
    <xf numFmtId="165" fontId="7" fillId="13" borderId="21" xfId="0" applyFont="true" applyBorder="true" applyAlignment="true" applyProtection="true">
      <alignment horizontal="center" vertical="center" textRotation="0" wrapText="true" indent="0" shrinkToFit="false"/>
      <protection locked="false" hidden="false"/>
    </xf>
    <xf numFmtId="165" fontId="7" fillId="7" borderId="31" xfId="0" applyFont="true" applyBorder="true" applyAlignment="true" applyProtection="true">
      <alignment horizontal="center" vertical="center" textRotation="0" wrapText="true" indent="0" shrinkToFit="false"/>
      <protection locked="true" hidden="false"/>
    </xf>
    <xf numFmtId="172" fontId="7" fillId="7" borderId="27" xfId="0" applyFont="true" applyBorder="true" applyAlignment="true" applyProtection="true">
      <alignment horizontal="left" vertical="center" textRotation="0" wrapText="true" indent="0" shrinkToFit="false"/>
      <protection locked="true" hidden="false"/>
    </xf>
    <xf numFmtId="164" fontId="7" fillId="13" borderId="27" xfId="0" applyFont="true" applyBorder="true" applyAlignment="true" applyProtection="true">
      <alignment horizontal="left" vertical="center" textRotation="0" wrapText="true" indent="6" shrinkToFit="false"/>
      <protection locked="false" hidden="false"/>
    </xf>
    <xf numFmtId="164" fontId="7" fillId="10" borderId="27" xfId="0" applyFont="true" applyBorder="true" applyAlignment="true" applyProtection="true">
      <alignment horizontal="left" vertical="center" textRotation="0" wrapText="true" indent="6" shrinkToFit="false"/>
      <protection locked="false" hidden="false"/>
    </xf>
    <xf numFmtId="171" fontId="7" fillId="13" borderId="14" xfId="0" applyFont="true" applyBorder="true" applyAlignment="true" applyProtection="true">
      <alignment horizontal="left" vertical="center" textRotation="0" wrapText="true" indent="1" shrinkToFit="false"/>
      <protection locked="false" hidden="false"/>
    </xf>
    <xf numFmtId="165" fontId="84" fillId="0" borderId="0" xfId="0" applyFont="true" applyBorder="true" applyAlignment="true" applyProtection="true">
      <alignment horizontal="general" vertical="center" textRotation="0" wrapText="true" indent="0" shrinkToFit="false"/>
      <protection locked="true" hidden="false"/>
    </xf>
    <xf numFmtId="165" fontId="84" fillId="7" borderId="0" xfId="0" applyFont="true" applyBorder="true" applyAlignment="true" applyProtection="true">
      <alignment horizontal="center" vertical="center" textRotation="0" wrapText="true" indent="0" shrinkToFit="false"/>
      <protection locked="true" hidden="false"/>
    </xf>
    <xf numFmtId="165" fontId="33" fillId="7" borderId="14" xfId="0" applyFont="true" applyBorder="true" applyAlignment="true" applyProtection="true">
      <alignment horizontal="left" vertical="center" textRotation="0" wrapText="true" indent="3" shrinkToFit="false"/>
      <protection locked="true" hidden="false"/>
    </xf>
    <xf numFmtId="164" fontId="7" fillId="14" borderId="14" xfId="0" applyFont="true" applyBorder="true" applyAlignment="true" applyProtection="true">
      <alignment horizontal="left" vertical="center" textRotation="0" wrapText="true" indent="1" shrinkToFit="false"/>
      <protection locked="false" hidden="false"/>
    </xf>
    <xf numFmtId="171" fontId="7" fillId="13" borderId="14" xfId="0" applyFont="true" applyBorder="true" applyAlignment="true" applyProtection="true">
      <alignment horizontal="center" vertical="center" textRotation="0" wrapText="true" indent="0" shrinkToFit="false"/>
      <protection locked="false" hidden="false"/>
    </xf>
    <xf numFmtId="164" fontId="7" fillId="14" borderId="21" xfId="0" applyFont="true" applyBorder="true" applyAlignment="true" applyProtection="true">
      <alignment horizontal="center" vertical="center" textRotation="0" wrapText="true" indent="0" shrinkToFit="false"/>
      <protection locked="true" hidden="false"/>
    </xf>
    <xf numFmtId="164" fontId="56" fillId="15" borderId="23" xfId="0" applyFont="true" applyBorder="true" applyAlignment="true" applyProtection="true">
      <alignment horizontal="left" vertical="center" textRotation="0" wrapText="false" indent="0" shrinkToFit="false"/>
      <protection locked="true" hidden="false"/>
    </xf>
    <xf numFmtId="165" fontId="7" fillId="0" borderId="23" xfId="0" applyFont="true" applyBorder="true" applyAlignment="true" applyProtection="true">
      <alignment horizontal="left" vertical="center" textRotation="0" wrapText="true" indent="1" shrinkToFit="false"/>
      <protection locked="true" hidden="false"/>
    </xf>
    <xf numFmtId="164" fontId="30" fillId="0" borderId="0" xfId="0" applyFont="true" applyBorder="true" applyAlignment="true" applyProtection="true">
      <alignment horizontal="center" vertical="center" textRotation="0" wrapText="true" indent="0" shrinkToFit="false"/>
      <protection locked="true" hidden="false"/>
    </xf>
    <xf numFmtId="165" fontId="54" fillId="0" borderId="0" xfId="0" applyFont="true" applyBorder="true" applyAlignment="true" applyProtection="true">
      <alignment horizontal="general" vertical="center" textRotation="0" wrapText="true" indent="0" shrinkToFit="false"/>
      <protection locked="true" hidden="false"/>
    </xf>
    <xf numFmtId="172" fontId="7" fillId="0" borderId="33" xfId="0" applyFont="true" applyBorder="true" applyAlignment="true" applyProtection="true">
      <alignment horizontal="center" vertical="center" textRotation="0" wrapText="true" indent="0" shrinkToFit="false"/>
      <protection locked="true" hidden="false"/>
    </xf>
    <xf numFmtId="165" fontId="7" fillId="13" borderId="14" xfId="0" applyFont="true" applyBorder="true" applyAlignment="true" applyProtection="true">
      <alignment horizontal="left" vertical="center" textRotation="0" wrapText="true" indent="2" shrinkToFit="false"/>
      <protection locked="false" hidden="false"/>
    </xf>
    <xf numFmtId="165" fontId="86" fillId="0" borderId="0" xfId="0" applyFont="true" applyBorder="true" applyAlignment="true" applyProtection="true">
      <alignment horizontal="general" vertical="center" textRotation="0" wrapText="true" indent="0" shrinkToFit="false"/>
      <protection locked="true" hidden="false"/>
    </xf>
    <xf numFmtId="165" fontId="33" fillId="0" borderId="33" xfId="0" applyFont="true" applyBorder="true" applyAlignment="true" applyProtection="true">
      <alignment horizontal="center" vertical="center" textRotation="0" wrapText="true" indent="0" shrinkToFit="false"/>
      <protection locked="true" hidden="false"/>
    </xf>
    <xf numFmtId="165" fontId="33" fillId="0" borderId="14" xfId="0" applyFont="true" applyBorder="true" applyAlignment="true" applyProtection="true">
      <alignment horizontal="left" vertical="center" textRotation="0" wrapText="true" indent="2" shrinkToFit="false"/>
      <protection locked="true" hidden="false"/>
    </xf>
    <xf numFmtId="165" fontId="7" fillId="0" borderId="14" xfId="0" applyFont="true" applyBorder="true" applyAlignment="true" applyProtection="true">
      <alignment horizontal="left" vertical="center" textRotation="0" wrapText="true" indent="3" shrinkToFit="false"/>
      <protection locked="true" hidden="false"/>
    </xf>
    <xf numFmtId="164" fontId="7" fillId="13" borderId="14" xfId="0" applyFont="true" applyBorder="true" applyAlignment="true" applyProtection="true">
      <alignment horizontal="center" vertical="center" textRotation="0" wrapText="true" indent="0" shrinkToFit="false"/>
      <protection locked="false" hidden="false"/>
    </xf>
    <xf numFmtId="164" fontId="7" fillId="0" borderId="0" xfId="0" applyFont="true" applyBorder="true" applyAlignment="true" applyProtection="true">
      <alignment horizontal="center" vertical="top" textRotation="0" wrapText="true" indent="0" shrinkToFit="false"/>
      <protection locked="true" hidden="false"/>
    </xf>
    <xf numFmtId="165" fontId="7" fillId="0" borderId="21" xfId="0" applyFont="true" applyBorder="true" applyAlignment="true" applyProtection="true">
      <alignment horizontal="general" vertical="top" textRotation="0" wrapText="true" indent="0" shrinkToFit="false"/>
      <protection locked="true" hidden="false"/>
    </xf>
    <xf numFmtId="170" fontId="7" fillId="10" borderId="14" xfId="0" applyFont="true" applyBorder="true" applyAlignment="true" applyProtection="true">
      <alignment horizontal="right" vertical="center" textRotation="0" wrapText="true" indent="0" shrinkToFit="false"/>
      <protection locked="false" hidden="false"/>
    </xf>
    <xf numFmtId="165" fontId="7" fillId="0" borderId="17" xfId="0" applyFont="true" applyBorder="true" applyAlignment="true" applyProtection="true">
      <alignment horizontal="general" vertical="center" textRotation="0" wrapText="true" indent="0" shrinkToFit="false"/>
      <protection locked="true" hidden="false"/>
    </xf>
    <xf numFmtId="165" fontId="7" fillId="0" borderId="0" xfId="0" applyFont="true" applyBorder="true" applyAlignment="true" applyProtection="true">
      <alignment horizontal="left" vertical="center" textRotation="0" wrapText="true" indent="3" shrinkToFit="false"/>
      <protection locked="true" hidden="false"/>
    </xf>
    <xf numFmtId="165" fontId="80" fillId="7" borderId="0" xfId="0" applyFont="true" applyBorder="true" applyAlignment="true" applyProtection="true">
      <alignment horizontal="right" vertical="center" textRotation="0" wrapText="false" indent="0" shrinkToFit="false"/>
      <protection locked="true" hidden="false"/>
    </xf>
    <xf numFmtId="165" fontId="7" fillId="0" borderId="15" xfId="0" applyFont="true" applyBorder="true" applyAlignment="true" applyProtection="true">
      <alignment horizontal="general" vertical="center" textRotation="0" wrapText="true" indent="0" shrinkToFit="false"/>
      <protection locked="true" hidden="false"/>
    </xf>
    <xf numFmtId="165" fontId="7" fillId="0" borderId="21" xfId="0" applyFont="true" applyBorder="true" applyAlignment="true" applyProtection="true">
      <alignment horizontal="right" vertical="center" textRotation="0" wrapText="true" indent="1" shrinkToFit="false"/>
      <protection locked="true" hidden="false"/>
    </xf>
    <xf numFmtId="172" fontId="7" fillId="12" borderId="15" xfId="0" applyFont="true" applyBorder="true" applyAlignment="true" applyProtection="true">
      <alignment horizontal="left" vertical="top" textRotation="0" wrapText="true" indent="0" shrinkToFit="false"/>
      <protection locked="true" hidden="false"/>
    </xf>
    <xf numFmtId="165" fontId="7" fillId="0" borderId="15" xfId="0" applyFont="true" applyBorder="true" applyAlignment="true" applyProtection="true">
      <alignment horizontal="right" vertical="center" textRotation="0" wrapText="true" indent="0" shrinkToFit="false"/>
      <protection locked="true" hidden="false"/>
    </xf>
    <xf numFmtId="165" fontId="7" fillId="0" borderId="12" xfId="0" applyFont="true" applyBorder="true" applyAlignment="true" applyProtection="true">
      <alignment horizontal="right" vertical="center" textRotation="0" wrapText="true" indent="1" shrinkToFit="false"/>
      <protection locked="true" hidden="false"/>
    </xf>
    <xf numFmtId="172" fontId="7" fillId="0" borderId="14" xfId="0" applyFont="true" applyBorder="true" applyAlignment="true" applyProtection="true">
      <alignment horizontal="left" vertical="center" textRotation="0" wrapText="true" indent="0" shrinkToFit="false"/>
      <protection locked="true" hidden="false"/>
    </xf>
    <xf numFmtId="171" fontId="7" fillId="13" borderId="14" xfId="0" applyFont="true" applyBorder="true" applyAlignment="true" applyProtection="true">
      <alignment horizontal="right" vertical="center" textRotation="0" wrapText="true" indent="0" shrinkToFit="false"/>
      <protection locked="false" hidden="false"/>
    </xf>
    <xf numFmtId="171" fontId="7" fillId="12" borderId="14" xfId="0" applyFont="true" applyBorder="true" applyAlignment="true" applyProtection="true">
      <alignment horizontal="right" vertical="center" textRotation="0" wrapText="true" indent="0" shrinkToFit="false"/>
      <protection locked="true" hidden="false"/>
    </xf>
    <xf numFmtId="164" fontId="30" fillId="9" borderId="0" xfId="0" applyFont="true" applyBorder="true" applyAlignment="true" applyProtection="true">
      <alignment horizontal="center" vertical="center" textRotation="90" wrapText="true" indent="0" shrinkToFit="false"/>
      <protection locked="true" hidden="false"/>
    </xf>
    <xf numFmtId="172" fontId="49" fillId="0" borderId="0" xfId="0" applyFont="true" applyBorder="true" applyAlignment="true" applyProtection="true">
      <alignment horizontal="center" vertical="center" textRotation="0" wrapText="true" indent="0" shrinkToFit="false"/>
      <protection locked="true" hidden="false"/>
    </xf>
    <xf numFmtId="164" fontId="49" fillId="0" borderId="0" xfId="0" applyFont="true" applyBorder="true" applyAlignment="true" applyProtection="true">
      <alignment horizontal="center" vertical="center" textRotation="0" wrapText="true" indent="0" shrinkToFit="false"/>
      <protection locked="true" hidden="false"/>
    </xf>
    <xf numFmtId="164" fontId="49" fillId="0" borderId="33" xfId="0" applyFont="true" applyBorder="true" applyAlignment="true" applyProtection="true">
      <alignment horizontal="center" vertical="center" textRotation="0" wrapText="true" indent="0" shrinkToFit="false"/>
      <protection locked="true" hidden="false"/>
    </xf>
    <xf numFmtId="165" fontId="49" fillId="0" borderId="14" xfId="0" applyFont="true" applyBorder="true" applyAlignment="true" applyProtection="true">
      <alignment horizontal="left" vertical="center" textRotation="0" wrapText="true" indent="2" shrinkToFit="false"/>
      <protection locked="true" hidden="false"/>
    </xf>
    <xf numFmtId="165" fontId="49" fillId="0" borderId="14" xfId="0" applyFont="true" applyBorder="true" applyAlignment="true" applyProtection="true">
      <alignment horizontal="center" vertical="center" textRotation="0" wrapText="true" indent="0" shrinkToFit="false"/>
      <protection locked="true" hidden="false"/>
    </xf>
    <xf numFmtId="165" fontId="49" fillId="0" borderId="14" xfId="0" applyFont="true" applyBorder="true" applyAlignment="true" applyProtection="true">
      <alignment horizontal="general" vertical="center" textRotation="0" wrapText="true" indent="0" shrinkToFit="false"/>
      <protection locked="true" hidden="false"/>
    </xf>
    <xf numFmtId="165" fontId="87" fillId="0" borderId="0" xfId="0" applyFont="true" applyBorder="true" applyAlignment="true" applyProtection="true">
      <alignment horizontal="general" vertical="center" textRotation="0" wrapText="true" indent="0" shrinkToFit="false"/>
      <protection locked="true" hidden="false"/>
    </xf>
    <xf numFmtId="165" fontId="49" fillId="0" borderId="33" xfId="0" applyFont="true" applyBorder="true" applyAlignment="true" applyProtection="true">
      <alignment horizontal="center" vertical="center" textRotation="0" wrapText="true" indent="0" shrinkToFit="false"/>
      <protection locked="true" hidden="false"/>
    </xf>
    <xf numFmtId="165" fontId="49" fillId="0" borderId="14" xfId="0" applyFont="true" applyBorder="true" applyAlignment="true" applyProtection="true">
      <alignment horizontal="left" vertical="center" textRotation="0" wrapText="true" indent="3" shrinkToFit="false"/>
      <protection locked="true" hidden="false"/>
    </xf>
    <xf numFmtId="171" fontId="49" fillId="0" borderId="14" xfId="0" applyFont="true" applyBorder="true" applyAlignment="true" applyProtection="true">
      <alignment horizontal="right" vertical="center" textRotation="0" wrapText="true" indent="0" shrinkToFit="false"/>
      <protection locked="true" hidden="false"/>
    </xf>
    <xf numFmtId="164" fontId="7" fillId="15" borderId="15" xfId="0" applyFont="true" applyBorder="true" applyAlignment="true" applyProtection="true">
      <alignment horizontal="general" vertical="center" textRotation="0" wrapText="true" indent="0" shrinkToFit="false"/>
      <protection locked="true" hidden="false"/>
    </xf>
    <xf numFmtId="165" fontId="7" fillId="15" borderId="12" xfId="0" applyFont="true" applyBorder="true" applyAlignment="true" applyProtection="true">
      <alignment horizontal="general" vertical="center" textRotation="0" wrapText="true" indent="0" shrinkToFit="false"/>
      <protection locked="true" hidden="false"/>
    </xf>
    <xf numFmtId="165" fontId="31" fillId="15" borderId="21" xfId="0" applyFont="true" applyBorder="true" applyAlignment="true" applyProtection="true">
      <alignment horizontal="general" vertical="center" textRotation="0" wrapText="true" indent="0" shrinkToFit="false"/>
      <protection locked="true" hidden="false"/>
    </xf>
    <xf numFmtId="172" fontId="7" fillId="0" borderId="14" xfId="0" applyFont="true" applyBorder="true" applyAlignment="true" applyProtection="true">
      <alignment horizontal="left" vertical="center" textRotation="0" wrapText="true" indent="2" shrinkToFit="false"/>
      <protection locked="true" hidden="false"/>
    </xf>
    <xf numFmtId="173" fontId="7" fillId="0" borderId="0" xfId="0" applyFont="true" applyBorder="true" applyAlignment="true" applyProtection="true">
      <alignment horizontal="center" vertical="center" textRotation="0" wrapText="true" indent="0" shrinkToFit="false"/>
      <protection locked="true" hidden="false"/>
    </xf>
    <xf numFmtId="164" fontId="30" fillId="9" borderId="0" xfId="0" applyFont="true" applyBorder="true" applyAlignment="true" applyProtection="true">
      <alignment horizontal="center" vertical="center" textRotation="0" wrapText="true" indent="0" shrinkToFit="false"/>
      <protection locked="true" hidden="false"/>
    </xf>
    <xf numFmtId="164" fontId="18" fillId="0" borderId="0" xfId="0" applyFont="true" applyBorder="true" applyAlignment="true" applyProtection="true">
      <alignment horizontal="center" vertical="center" textRotation="0" wrapText="false" indent="0" shrinkToFit="false"/>
      <protection locked="true" hidden="false"/>
    </xf>
    <xf numFmtId="170" fontId="7" fillId="13" borderId="14" xfId="0" applyFont="true" applyBorder="true" applyAlignment="true" applyProtection="true">
      <alignment horizontal="right" vertical="center" textRotation="0" wrapText="true" indent="0" shrinkToFit="false"/>
      <protection locked="false" hidden="false"/>
    </xf>
    <xf numFmtId="164" fontId="30" fillId="0" borderId="0" xfId="0" applyFont="true" applyBorder="true" applyAlignment="true" applyProtection="true">
      <alignment horizontal="left" vertical="center" textRotation="0" wrapText="true" indent="0" shrinkToFit="false"/>
      <protection locked="true" hidden="false"/>
    </xf>
    <xf numFmtId="165" fontId="54" fillId="0" borderId="0" xfId="0" applyFont="true" applyBorder="true" applyAlignment="true" applyProtection="true">
      <alignment horizontal="left" vertical="center" textRotation="0" wrapText="true" indent="0" shrinkToFit="false"/>
      <protection locked="true" hidden="false"/>
    </xf>
    <xf numFmtId="171" fontId="7" fillId="12" borderId="27" xfId="0" applyFont="true" applyBorder="true" applyAlignment="true" applyProtection="true">
      <alignment horizontal="right" vertical="center" textRotation="0" wrapText="true" indent="0" shrinkToFit="false"/>
      <protection locked="true" hidden="false"/>
    </xf>
    <xf numFmtId="165" fontId="33" fillId="0" borderId="14" xfId="0" applyFont="true" applyBorder="true" applyAlignment="true" applyProtection="true">
      <alignment horizontal="left" vertical="center" textRotation="0" wrapText="true" indent="3" shrinkToFit="false"/>
      <protection locked="true" hidden="false"/>
    </xf>
    <xf numFmtId="164" fontId="33" fillId="0" borderId="14" xfId="0" applyFont="true" applyBorder="true" applyAlignment="true" applyProtection="true">
      <alignment horizontal="general" vertical="center" textRotation="0" wrapText="true" indent="0" shrinkToFit="false"/>
      <protection locked="true" hidden="false"/>
    </xf>
    <xf numFmtId="165" fontId="33" fillId="0" borderId="27" xfId="0" applyFont="true" applyBorder="true" applyAlignment="true" applyProtection="true">
      <alignment horizontal="general" vertical="top" textRotation="0" wrapText="true" indent="0" shrinkToFit="false"/>
      <protection locked="true" hidden="false"/>
    </xf>
    <xf numFmtId="171" fontId="7" fillId="13" borderId="21" xfId="0" applyFont="true" applyBorder="true" applyAlignment="true" applyProtection="true">
      <alignment horizontal="right" vertical="center" textRotation="0" wrapText="true" indent="0" shrinkToFit="false"/>
      <protection locked="false" hidden="false"/>
    </xf>
    <xf numFmtId="164" fontId="17" fillId="10" borderId="21" xfId="0" applyFont="true" applyBorder="true" applyAlignment="true" applyProtection="true">
      <alignment horizontal="left" vertical="center" textRotation="0" wrapText="true" indent="0" shrinkToFit="false"/>
      <protection locked="false" hidden="false"/>
    </xf>
    <xf numFmtId="164" fontId="17" fillId="10" borderId="14" xfId="0" applyFont="true" applyBorder="true" applyAlignment="true" applyProtection="true">
      <alignment horizontal="left" vertical="center" textRotation="0" wrapText="true" indent="0" shrinkToFit="false"/>
      <protection locked="false" hidden="false"/>
    </xf>
    <xf numFmtId="170" fontId="7" fillId="13" borderId="21" xfId="0" applyFont="true" applyBorder="true" applyAlignment="true" applyProtection="true">
      <alignment horizontal="right" vertical="center" textRotation="0" wrapText="true" indent="0" shrinkToFit="false"/>
      <protection locked="false" hidden="false"/>
    </xf>
    <xf numFmtId="170" fontId="7" fillId="12" borderId="21" xfId="0" applyFont="true" applyBorder="true" applyAlignment="true" applyProtection="true">
      <alignment horizontal="right" vertical="center" textRotation="0" wrapText="true" indent="0" shrinkToFit="false"/>
      <protection locked="true" hidden="false"/>
    </xf>
    <xf numFmtId="170" fontId="7" fillId="12" borderId="14" xfId="0" applyFont="true" applyBorder="true" applyAlignment="true" applyProtection="true">
      <alignment horizontal="right" vertical="center" textRotation="0" wrapText="true" indent="0" shrinkToFit="false"/>
      <protection locked="true" hidden="false"/>
    </xf>
    <xf numFmtId="171" fontId="7" fillId="13" borderId="31" xfId="0" applyFont="true" applyBorder="true" applyAlignment="true" applyProtection="true">
      <alignment horizontal="right" vertical="center" textRotation="0" wrapText="true" indent="0" shrinkToFit="false"/>
      <protection locked="false" hidden="false"/>
    </xf>
    <xf numFmtId="171" fontId="7" fillId="13" borderId="20" xfId="0" applyFont="true" applyBorder="true" applyAlignment="true" applyProtection="true">
      <alignment horizontal="right" vertical="center" textRotation="0" wrapText="true" indent="0" shrinkToFit="false"/>
      <protection locked="false" hidden="false"/>
    </xf>
    <xf numFmtId="165" fontId="33" fillId="0" borderId="32" xfId="0" applyFont="true" applyBorder="true" applyAlignment="true" applyProtection="true">
      <alignment horizontal="left" vertical="center" textRotation="0" wrapText="true" indent="1" shrinkToFit="false"/>
      <protection locked="true" hidden="false"/>
    </xf>
    <xf numFmtId="165" fontId="33" fillId="0" borderId="32" xfId="0" applyFont="true" applyBorder="true" applyAlignment="true" applyProtection="true">
      <alignment horizontal="center" vertical="center" textRotation="0" wrapText="true" indent="0" shrinkToFit="false"/>
      <protection locked="true" hidden="false"/>
    </xf>
    <xf numFmtId="165" fontId="33" fillId="0" borderId="27" xfId="0" applyFont="true" applyBorder="true" applyAlignment="true" applyProtection="true">
      <alignment horizontal="general" vertical="center" textRotation="0" wrapText="true" indent="0" shrinkToFit="false"/>
      <protection locked="true" hidden="false"/>
    </xf>
    <xf numFmtId="164" fontId="7" fillId="15" borderId="24" xfId="0" applyFont="true" applyBorder="true" applyAlignment="true" applyProtection="true">
      <alignment horizontal="general" vertical="center" textRotation="0" wrapText="true" indent="0" shrinkToFit="false"/>
      <protection locked="true" hidden="false"/>
    </xf>
    <xf numFmtId="164" fontId="56" fillId="15" borderId="16" xfId="0" applyFont="true" applyBorder="true" applyAlignment="true" applyProtection="true">
      <alignment horizontal="left" vertical="center" textRotation="0" wrapText="false" indent="1" shrinkToFit="false"/>
      <protection locked="true" hidden="false"/>
    </xf>
    <xf numFmtId="165" fontId="7" fillId="0" borderId="20" xfId="0" applyFont="true" applyBorder="true" applyAlignment="true" applyProtection="true">
      <alignment horizontal="general" vertical="top" textRotation="0" wrapText="true" indent="0" shrinkToFit="false"/>
      <protection locked="true" hidden="false"/>
    </xf>
    <xf numFmtId="165" fontId="7" fillId="0" borderId="17" xfId="0" applyFont="true" applyBorder="true" applyAlignment="true" applyProtection="true">
      <alignment horizontal="center" vertical="center" textRotation="0" wrapText="true" indent="0" shrinkToFit="false"/>
      <protection locked="true" hidden="false"/>
    </xf>
    <xf numFmtId="170" fontId="7" fillId="13" borderId="27" xfId="0" applyFont="true" applyBorder="true" applyAlignment="true" applyProtection="true">
      <alignment horizontal="right" vertical="center" textRotation="0" wrapText="true" indent="0" shrinkToFit="false"/>
      <protection locked="false" hidden="false"/>
    </xf>
    <xf numFmtId="165" fontId="33" fillId="0" borderId="20" xfId="0" applyFont="true" applyBorder="true" applyAlignment="true" applyProtection="true">
      <alignment horizontal="left" vertical="center" textRotation="0" wrapText="true" indent="1" shrinkToFit="false"/>
      <protection locked="true" hidden="false"/>
    </xf>
    <xf numFmtId="165" fontId="33" fillId="0" borderId="27" xfId="0" applyFont="true" applyBorder="true" applyAlignment="true" applyProtection="true">
      <alignment horizontal="center" vertical="center" textRotation="0" wrapText="true" indent="0" shrinkToFit="false"/>
      <protection locked="true" hidden="false"/>
    </xf>
    <xf numFmtId="165" fontId="33" fillId="0" borderId="27" xfId="0" applyFont="true" applyBorder="true" applyAlignment="true" applyProtection="true">
      <alignment horizontal="left" vertical="center" textRotation="0" wrapText="true" indent="1" shrinkToFit="false"/>
      <protection locked="true" hidden="false"/>
    </xf>
    <xf numFmtId="165" fontId="30" fillId="0" borderId="0" xfId="0" applyFont="true" applyBorder="true" applyAlignment="true" applyProtection="true">
      <alignment horizontal="general" vertical="center" textRotation="0" wrapText="true" indent="0" shrinkToFit="false"/>
      <protection locked="true" hidden="false"/>
    </xf>
    <xf numFmtId="164" fontId="31" fillId="0" borderId="0" xfId="0" applyFont="true" applyBorder="true" applyAlignment="true" applyProtection="true">
      <alignment horizontal="center" vertical="center" textRotation="0" wrapText="true" indent="0" shrinkToFit="false"/>
      <protection locked="true" hidden="false"/>
    </xf>
    <xf numFmtId="165" fontId="7" fillId="0" borderId="16" xfId="0" applyFont="true" applyBorder="true" applyAlignment="true" applyProtection="true">
      <alignment horizontal="general" vertical="center" textRotation="0" wrapText="true" indent="0" shrinkToFit="false"/>
      <protection locked="true" hidden="false"/>
    </xf>
    <xf numFmtId="165" fontId="7" fillId="0" borderId="23" xfId="0" applyFont="true" applyBorder="true" applyAlignment="true" applyProtection="true">
      <alignment horizontal="general" vertical="center" textRotation="0" wrapText="true" indent="0" shrinkToFit="false"/>
      <protection locked="true" hidden="false"/>
    </xf>
    <xf numFmtId="165" fontId="18" fillId="0" borderId="0" xfId="0" applyFont="true" applyBorder="true" applyAlignment="true" applyProtection="true">
      <alignment horizontal="center" vertical="center" textRotation="0" wrapText="true" indent="0" shrinkToFit="false"/>
      <protection locked="true" hidden="false"/>
    </xf>
    <xf numFmtId="165" fontId="49" fillId="0" borderId="0" xfId="0" applyFont="true" applyBorder="true" applyAlignment="true" applyProtection="true">
      <alignment horizontal="center" vertical="center" textRotation="0" wrapText="true" indent="0" shrinkToFit="false"/>
      <protection locked="true" hidden="false"/>
    </xf>
    <xf numFmtId="165" fontId="88" fillId="0" borderId="0" xfId="0" applyFont="true" applyBorder="true" applyAlignment="true" applyProtection="true">
      <alignment horizontal="center" vertical="center" textRotation="0" wrapText="true" indent="0" shrinkToFit="false"/>
      <protection locked="true" hidden="false"/>
    </xf>
    <xf numFmtId="165" fontId="89" fillId="7" borderId="0" xfId="0" applyFont="true" applyBorder="true" applyAlignment="true" applyProtection="true">
      <alignment horizontal="right" vertical="center" textRotation="0" wrapText="false" indent="0" shrinkToFit="false"/>
      <protection locked="true" hidden="false"/>
    </xf>
    <xf numFmtId="165" fontId="90" fillId="0" borderId="0" xfId="0" applyFont="true" applyBorder="true" applyAlignment="true" applyProtection="true">
      <alignment horizontal="general" vertical="center" textRotation="0" wrapText="true" indent="0" shrinkToFit="false"/>
      <protection locked="true" hidden="false"/>
    </xf>
    <xf numFmtId="177" fontId="18" fillId="0" borderId="0" xfId="0" applyFont="true" applyBorder="true" applyAlignment="true" applyProtection="true">
      <alignment horizontal="center" vertical="center" textRotation="0" wrapText="true" indent="0" shrinkToFit="false"/>
      <protection locked="true" hidden="false"/>
    </xf>
    <xf numFmtId="165" fontId="0" fillId="0" borderId="0" xfId="0" applyFont="true" applyBorder="true" applyAlignment="true" applyProtection="true">
      <alignment horizontal="general" vertical="top" textRotation="0" wrapText="false" indent="0" shrinkToFit="false"/>
      <protection locked="true" hidden="false"/>
    </xf>
    <xf numFmtId="165" fontId="0" fillId="0" borderId="14" xfId="0" applyFont="true" applyBorder="true" applyAlignment="true" applyProtection="true">
      <alignment horizontal="right" vertical="center" textRotation="0" wrapText="true" indent="1" shrinkToFit="false"/>
      <protection locked="true" hidden="false"/>
    </xf>
    <xf numFmtId="172" fontId="0" fillId="12" borderId="14" xfId="0" applyFont="true" applyBorder="true" applyAlignment="true" applyProtection="true">
      <alignment horizontal="left" vertical="center" textRotation="0" wrapText="true" indent="1" shrinkToFit="false"/>
      <protection locked="true" hidden="false"/>
    </xf>
    <xf numFmtId="165" fontId="7" fillId="0" borderId="21" xfId="0" applyFont="true" applyBorder="true" applyAlignment="true" applyProtection="true">
      <alignment horizontal="left" vertical="center" textRotation="0" wrapText="true" indent="1" shrinkToFit="false"/>
      <protection locked="true" hidden="false"/>
    </xf>
    <xf numFmtId="164" fontId="33" fillId="0" borderId="18" xfId="0" applyFont="true" applyBorder="true" applyAlignment="true" applyProtection="true">
      <alignment horizontal="general" vertical="top" textRotation="0" wrapText="false" indent="0" shrinkToFit="false"/>
      <protection locked="true" hidden="false"/>
    </xf>
    <xf numFmtId="165" fontId="31" fillId="0" borderId="0" xfId="0" applyFont="true" applyBorder="true" applyAlignment="true" applyProtection="true">
      <alignment horizontal="center" vertical="top" textRotation="0" wrapText="false" indent="0" shrinkToFit="false"/>
      <protection locked="true" hidden="false"/>
    </xf>
    <xf numFmtId="165" fontId="31" fillId="0" borderId="0" xfId="0" applyFont="true" applyBorder="true" applyAlignment="true" applyProtection="true">
      <alignment horizontal="general" vertical="top" textRotation="0" wrapText="false" indent="0" shrinkToFit="false"/>
      <protection locked="true" hidden="false"/>
    </xf>
    <xf numFmtId="165" fontId="55" fillId="0" borderId="0" xfId="0" applyFont="true" applyBorder="true" applyAlignment="true" applyProtection="true">
      <alignment horizontal="general" vertical="top" textRotation="0" wrapText="false" indent="0" shrinkToFit="false"/>
      <protection locked="true" hidden="false"/>
    </xf>
    <xf numFmtId="165" fontId="24" fillId="0" borderId="0" xfId="0" applyFont="true" applyBorder="true" applyAlignment="true" applyProtection="true">
      <alignment horizontal="general" vertical="top" textRotation="0" wrapText="false" indent="0" shrinkToFit="false"/>
      <protection locked="true" hidden="false"/>
    </xf>
    <xf numFmtId="165" fontId="7" fillId="0" borderId="20" xfId="0" applyFont="true" applyBorder="true" applyAlignment="true" applyProtection="true">
      <alignment horizontal="left" vertical="center" textRotation="0" wrapText="true" indent="0" shrinkToFit="false"/>
      <protection locked="true" hidden="false"/>
    </xf>
    <xf numFmtId="178" fontId="7" fillId="0" borderId="20" xfId="0" applyFont="true" applyBorder="true" applyAlignment="true" applyProtection="true">
      <alignment horizontal="center" vertical="center" textRotation="0" wrapText="true" indent="0" shrinkToFit="false"/>
      <protection locked="true" hidden="false"/>
    </xf>
    <xf numFmtId="165" fontId="33" fillId="0" borderId="18" xfId="0" applyFont="true" applyBorder="true" applyAlignment="true" applyProtection="true">
      <alignment horizontal="general" vertical="center" textRotation="0" wrapText="true" indent="0" shrinkToFit="false"/>
      <protection locked="true" hidden="false"/>
    </xf>
    <xf numFmtId="164" fontId="56" fillId="0" borderId="16" xfId="0" applyFont="true" applyBorder="true" applyAlignment="true" applyProtection="true">
      <alignment horizontal="right" vertical="center" textRotation="0" wrapText="false" indent="0" shrinkToFit="false"/>
      <protection locked="true" hidden="false"/>
    </xf>
    <xf numFmtId="165" fontId="57" fillId="0" borderId="0" xfId="0" applyFont="true" applyBorder="true" applyAlignment="true" applyProtection="true">
      <alignment horizontal="left" vertical="top" textRotation="0" wrapText="true" indent="0" shrinkToFit="false"/>
      <protection locked="true" hidden="false"/>
    </xf>
    <xf numFmtId="165" fontId="33" fillId="0" borderId="15" xfId="0" applyFont="true" applyBorder="true" applyAlignment="true" applyProtection="true">
      <alignment horizontal="general" vertical="center" textRotation="0" wrapText="true" indent="0" shrinkToFit="false"/>
      <protection locked="true" hidden="false"/>
    </xf>
    <xf numFmtId="165" fontId="33" fillId="0" borderId="21" xfId="0" applyFont="true" applyBorder="true" applyAlignment="true" applyProtection="true">
      <alignment horizontal="right" vertical="center" textRotation="0" wrapText="true" indent="1" shrinkToFit="false"/>
      <protection locked="true" hidden="false"/>
    </xf>
    <xf numFmtId="172" fontId="33" fillId="0" borderId="15" xfId="0" applyFont="true" applyBorder="true" applyAlignment="true" applyProtection="true">
      <alignment horizontal="left" vertical="top" textRotation="0" wrapText="true" indent="0" shrinkToFit="false"/>
      <protection locked="true" hidden="false"/>
    </xf>
    <xf numFmtId="164" fontId="7" fillId="0" borderId="33" xfId="0" applyFont="true" applyBorder="true" applyAlignment="true" applyProtection="true">
      <alignment horizontal="center" vertical="center" textRotation="0" wrapText="true" indent="0" shrinkToFit="false"/>
      <protection locked="true" hidden="false"/>
    </xf>
    <xf numFmtId="164" fontId="7" fillId="0" borderId="34" xfId="0" applyFont="true" applyBorder="true" applyAlignment="true" applyProtection="true">
      <alignment horizontal="center" vertical="center" textRotation="0" wrapText="true" indent="0" shrinkToFit="false"/>
      <protection locked="true" hidden="false"/>
    </xf>
    <xf numFmtId="164" fontId="7" fillId="0" borderId="35" xfId="0" applyFont="true" applyBorder="true" applyAlignment="true" applyProtection="true">
      <alignment horizontal="center" vertical="center" textRotation="0" wrapText="true" indent="0" shrinkToFit="false"/>
      <protection locked="true" hidden="false"/>
    </xf>
    <xf numFmtId="171" fontId="7" fillId="13" borderId="27" xfId="0" applyFont="true" applyBorder="true" applyAlignment="true" applyProtection="true">
      <alignment horizontal="right" vertical="center" textRotation="0" wrapText="true" indent="0" shrinkToFit="false"/>
      <protection locked="false" hidden="false"/>
    </xf>
    <xf numFmtId="164" fontId="56" fillId="15" borderId="16" xfId="0" applyFont="true" applyBorder="true" applyAlignment="true" applyProtection="true">
      <alignment horizontal="left" vertical="center" textRotation="0" wrapText="false" indent="2" shrinkToFit="false"/>
      <protection locked="true" hidden="false"/>
    </xf>
    <xf numFmtId="164" fontId="0" fillId="0" borderId="14" xfId="0" applyFont="true" applyBorder="true" applyAlignment="true" applyProtection="true">
      <alignment horizontal="left" vertical="center" textRotation="0" wrapText="true" indent="2" shrinkToFit="false"/>
      <protection locked="true" hidden="false"/>
    </xf>
    <xf numFmtId="164" fontId="7" fillId="0" borderId="36" xfId="0" applyFont="true" applyBorder="true" applyAlignment="true" applyProtection="true">
      <alignment horizontal="center" vertical="center" textRotation="0" wrapText="true" indent="0" shrinkToFit="false"/>
      <protection locked="true" hidden="false"/>
    </xf>
    <xf numFmtId="165" fontId="7" fillId="0" borderId="27" xfId="0" applyFont="true" applyBorder="true" applyAlignment="true" applyProtection="true">
      <alignment horizontal="left" vertical="center" textRotation="0" wrapText="true" indent="1" shrinkToFit="false"/>
      <protection locked="true" hidden="false"/>
    </xf>
    <xf numFmtId="164" fontId="0" fillId="0" borderId="14" xfId="0" applyFont="true" applyBorder="true" applyAlignment="true" applyProtection="true">
      <alignment horizontal="general" vertical="center" textRotation="0" wrapText="true" indent="0" shrinkToFit="false"/>
      <protection locked="true" hidden="false"/>
    </xf>
    <xf numFmtId="165" fontId="33" fillId="0" borderId="23" xfId="0" applyFont="true" applyBorder="true" applyAlignment="true" applyProtection="true">
      <alignment horizontal="general" vertical="center" textRotation="0" wrapText="true" indent="0" shrinkToFit="false"/>
      <protection locked="true" hidden="false"/>
    </xf>
    <xf numFmtId="172" fontId="7" fillId="12" borderId="14" xfId="0" applyFont="true" applyBorder="true" applyAlignment="true" applyProtection="true">
      <alignment horizontal="left" vertical="top" textRotation="0" wrapText="true" indent="0" shrinkToFit="false"/>
      <protection locked="true" hidden="false"/>
    </xf>
    <xf numFmtId="164" fontId="7" fillId="16" borderId="0" xfId="0" applyFont="true" applyBorder="true" applyAlignment="true" applyProtection="true">
      <alignment horizontal="center" vertical="center" textRotation="90" wrapText="true" indent="0" shrinkToFit="false"/>
      <protection locked="true" hidden="false"/>
    </xf>
    <xf numFmtId="164" fontId="17" fillId="10" borderId="15" xfId="0" applyFont="true" applyBorder="true" applyAlignment="true" applyProtection="true">
      <alignment horizontal="left" vertical="center" textRotation="0" wrapText="true" indent="0" shrinkToFit="false"/>
      <protection locked="false" hidden="false"/>
    </xf>
    <xf numFmtId="165" fontId="90" fillId="0" borderId="18" xfId="0" applyFont="true" applyBorder="true" applyAlignment="true" applyProtection="true">
      <alignment horizontal="general" vertical="center" textRotation="0" wrapText="true" indent="0" shrinkToFit="false"/>
      <protection locked="true" hidden="false"/>
    </xf>
    <xf numFmtId="176" fontId="7" fillId="10" borderId="15" xfId="0" applyFont="true" applyBorder="true" applyAlignment="true" applyProtection="true">
      <alignment horizontal="right" vertical="center" textRotation="0" wrapText="true" indent="0" shrinkToFit="false"/>
      <protection locked="false" hidden="false"/>
    </xf>
    <xf numFmtId="171" fontId="7" fillId="10" borderId="15" xfId="0" applyFont="true" applyBorder="true" applyAlignment="true" applyProtection="true">
      <alignment horizontal="right" vertical="center" textRotation="0" wrapText="true" indent="0" shrinkToFit="false"/>
      <protection locked="false" hidden="false"/>
    </xf>
    <xf numFmtId="176" fontId="57" fillId="10" borderId="14" xfId="0" applyFont="true" applyBorder="true" applyAlignment="true" applyProtection="true">
      <alignment horizontal="right" vertical="center" textRotation="0" wrapText="false" indent="0" shrinkToFit="false"/>
      <protection locked="false" hidden="false"/>
    </xf>
    <xf numFmtId="164" fontId="7" fillId="10" borderId="15" xfId="0" applyFont="true" applyBorder="true" applyAlignment="true" applyProtection="true">
      <alignment horizontal="left" vertical="center" textRotation="0" wrapText="true" indent="0" shrinkToFit="false"/>
      <protection locked="false" hidden="false"/>
    </xf>
    <xf numFmtId="165" fontId="7" fillId="0" borderId="0" xfId="0" applyFont="true" applyBorder="true" applyAlignment="true" applyProtection="true">
      <alignment horizontal="general" vertical="top" textRotation="0" wrapText="false" indent="0" shrinkToFit="false"/>
      <protection locked="true" hidden="false"/>
    </xf>
    <xf numFmtId="164" fontId="17" fillId="0" borderId="14" xfId="0" applyFont="true" applyBorder="true" applyAlignment="true" applyProtection="true">
      <alignment horizontal="left" vertical="center" textRotation="0" wrapText="true" indent="0" shrinkToFit="false"/>
      <protection locked="true" hidden="false"/>
    </xf>
    <xf numFmtId="164" fontId="7" fillId="0" borderId="37" xfId="0" applyFont="true" applyBorder="true" applyAlignment="true" applyProtection="true">
      <alignment horizontal="center" vertical="center" textRotation="0" wrapText="true" indent="0" shrinkToFit="false"/>
      <protection locked="true" hidden="false"/>
    </xf>
    <xf numFmtId="165" fontId="7" fillId="0" borderId="37" xfId="0" applyFont="true" applyBorder="true" applyAlignment="true" applyProtection="true">
      <alignment horizontal="left" vertical="center" textRotation="0" wrapText="true" indent="0" shrinkToFit="false"/>
      <protection locked="true" hidden="false"/>
    </xf>
    <xf numFmtId="171" fontId="7" fillId="0" borderId="38" xfId="0" applyFont="true" applyBorder="true" applyAlignment="true" applyProtection="true">
      <alignment horizontal="center" vertical="center" textRotation="0" wrapText="true" indent="0" shrinkToFit="false"/>
      <protection locked="true" hidden="false"/>
    </xf>
    <xf numFmtId="164" fontId="17" fillId="0" borderId="30" xfId="0" applyFont="true" applyBorder="true" applyAlignment="true" applyProtection="true">
      <alignment horizontal="left" vertical="center" textRotation="0" wrapText="true" indent="0" shrinkToFit="false"/>
      <protection locked="true" hidden="false"/>
    </xf>
    <xf numFmtId="164" fontId="7" fillId="0" borderId="39" xfId="0" applyFont="true" applyBorder="true" applyAlignment="true" applyProtection="true">
      <alignment horizontal="center" vertical="center" textRotation="0" wrapText="true" indent="0" shrinkToFit="false"/>
      <protection locked="true" hidden="false"/>
    </xf>
    <xf numFmtId="165" fontId="7" fillId="0" borderId="40" xfId="0" applyFont="true" applyBorder="true" applyAlignment="true" applyProtection="true">
      <alignment horizontal="left" vertical="center" textRotation="0" wrapText="true" indent="1" shrinkToFit="false"/>
      <protection locked="true" hidden="false"/>
    </xf>
    <xf numFmtId="171" fontId="7" fillId="13" borderId="39" xfId="0" applyFont="true" applyBorder="true" applyAlignment="true" applyProtection="true">
      <alignment horizontal="right" vertical="center" textRotation="0" wrapText="true" indent="0" shrinkToFit="false"/>
      <protection locked="false" hidden="false"/>
    </xf>
    <xf numFmtId="164" fontId="17" fillId="0" borderId="15" xfId="0" applyFont="true" applyBorder="true" applyAlignment="true" applyProtection="true">
      <alignment horizontal="left" vertical="center" textRotation="0" wrapText="true" indent="0" shrinkToFit="false"/>
      <protection locked="true" hidden="false"/>
    </xf>
    <xf numFmtId="171" fontId="7" fillId="0" borderId="27" xfId="0" applyFont="true" applyBorder="true" applyAlignment="true" applyProtection="true">
      <alignment horizontal="center" vertical="center" textRotation="0" wrapText="true" indent="0" shrinkToFit="false"/>
      <protection locked="true" hidden="false"/>
    </xf>
    <xf numFmtId="171" fontId="7" fillId="13" borderId="41" xfId="0" applyFont="true" applyBorder="true" applyAlignment="true" applyProtection="true">
      <alignment horizontal="right" vertical="center" textRotation="0" wrapText="true" indent="0" shrinkToFit="false"/>
      <protection locked="false" hidden="false"/>
    </xf>
    <xf numFmtId="165" fontId="7" fillId="0" borderId="40" xfId="0" applyFont="true" applyBorder="true" applyAlignment="true" applyProtection="true">
      <alignment horizontal="left" vertical="center" textRotation="0" wrapText="true" indent="0" shrinkToFit="false"/>
      <protection locked="true" hidden="false"/>
    </xf>
    <xf numFmtId="164" fontId="17" fillId="0" borderId="12" xfId="0" applyFont="true" applyBorder="true" applyAlignment="true" applyProtection="true">
      <alignment horizontal="left" vertical="center" textRotation="0" wrapText="true" indent="0" shrinkToFit="false"/>
      <protection locked="true" hidden="false"/>
    </xf>
    <xf numFmtId="165" fontId="7" fillId="0" borderId="39" xfId="0" applyFont="true" applyBorder="true" applyAlignment="true" applyProtection="true">
      <alignment horizontal="left" vertical="center" textRotation="0" wrapText="true" indent="1" shrinkToFit="false"/>
      <protection locked="true" hidden="false"/>
    </xf>
    <xf numFmtId="171" fontId="7" fillId="0" borderId="37" xfId="0" applyFont="true" applyBorder="true" applyAlignment="true" applyProtection="true">
      <alignment horizontal="center" vertical="center" textRotation="0" wrapText="true" indent="0" shrinkToFit="false"/>
      <protection locked="true" hidden="false"/>
    </xf>
    <xf numFmtId="165" fontId="7" fillId="0" borderId="39" xfId="0" applyFont="true" applyBorder="true" applyAlignment="true" applyProtection="true">
      <alignment horizontal="left" vertical="center" textRotation="0" wrapText="true" indent="0" shrinkToFit="false"/>
      <protection locked="true" hidden="false"/>
    </xf>
    <xf numFmtId="165" fontId="7" fillId="0" borderId="39" xfId="0" applyFont="true" applyBorder="true" applyAlignment="true" applyProtection="true">
      <alignment horizontal="left" vertical="center" textRotation="0" wrapText="true" indent="2" shrinkToFit="false"/>
      <protection locked="true" hidden="false"/>
    </xf>
    <xf numFmtId="171" fontId="7" fillId="0" borderId="39" xfId="0" applyFont="true" applyBorder="true" applyAlignment="true" applyProtection="true">
      <alignment horizontal="center" vertical="center" textRotation="0" wrapText="true" indent="0" shrinkToFit="false"/>
      <protection locked="true" hidden="false"/>
    </xf>
    <xf numFmtId="164" fontId="7" fillId="0" borderId="42" xfId="0" applyFont="true" applyBorder="true" applyAlignment="true" applyProtection="true">
      <alignment horizontal="center" vertical="center" textRotation="0" wrapText="true" indent="0" shrinkToFit="false"/>
      <protection locked="true" hidden="false"/>
    </xf>
    <xf numFmtId="165" fontId="7" fillId="0" borderId="41" xfId="0" applyFont="true" applyBorder="true" applyAlignment="true" applyProtection="true">
      <alignment horizontal="left" vertical="center" textRotation="0" wrapText="true" indent="0" shrinkToFit="false"/>
      <protection locked="true" hidden="false"/>
    </xf>
    <xf numFmtId="171" fontId="7" fillId="0" borderId="41" xfId="0" applyFont="true" applyBorder="true" applyAlignment="true" applyProtection="true">
      <alignment horizontal="center" vertical="center" textRotation="0" wrapText="true" indent="0" shrinkToFit="false"/>
      <protection locked="true" hidden="false"/>
    </xf>
    <xf numFmtId="164" fontId="17" fillId="0" borderId="24" xfId="0" applyFont="true" applyBorder="true" applyAlignment="true" applyProtection="true">
      <alignment horizontal="left" vertical="center" textRotation="0" wrapText="true" indent="0" shrinkToFit="false"/>
      <protection locked="true" hidden="false"/>
    </xf>
    <xf numFmtId="164" fontId="7" fillId="0" borderId="40" xfId="0" applyFont="true" applyBorder="true" applyAlignment="true" applyProtection="true">
      <alignment horizontal="center" vertical="center" textRotation="0" wrapText="true" indent="0" shrinkToFit="false"/>
      <protection locked="true" hidden="false"/>
    </xf>
    <xf numFmtId="171" fontId="7" fillId="13" borderId="15" xfId="0" applyFont="true" applyBorder="true" applyAlignment="true" applyProtection="true">
      <alignment horizontal="right" vertical="center" textRotation="0" wrapText="true" indent="0" shrinkToFit="false"/>
      <protection locked="false" hidden="false"/>
    </xf>
    <xf numFmtId="171" fontId="7" fillId="13" borderId="40" xfId="0" applyFont="true" applyBorder="true" applyAlignment="true" applyProtection="true">
      <alignment horizontal="right" vertical="center" textRotation="0" wrapText="true" indent="0" shrinkToFit="false"/>
      <protection locked="false" hidden="false"/>
    </xf>
    <xf numFmtId="171" fontId="7" fillId="0" borderId="40" xfId="0" applyFont="true" applyBorder="true" applyAlignment="true" applyProtection="true">
      <alignment horizontal="center" vertical="center" textRotation="0" wrapText="true" indent="0" shrinkToFit="false"/>
      <protection locked="true" hidden="false"/>
    </xf>
    <xf numFmtId="171" fontId="7" fillId="13" borderId="42" xfId="0" applyFont="true" applyBorder="true" applyAlignment="true" applyProtection="true">
      <alignment horizontal="right" vertical="center" textRotation="0" wrapText="true" indent="0" shrinkToFit="false"/>
      <protection locked="false" hidden="false"/>
    </xf>
    <xf numFmtId="164" fontId="17" fillId="13" borderId="15" xfId="0" applyFont="true" applyBorder="true" applyAlignment="true" applyProtection="true">
      <alignment horizontal="left" vertical="center" textRotation="0" wrapText="true" indent="0" shrinkToFit="false"/>
      <protection locked="false" hidden="false"/>
    </xf>
    <xf numFmtId="165" fontId="53" fillId="0" borderId="19" xfId="0" applyFont="true" applyBorder="true" applyAlignment="true" applyProtection="true">
      <alignment horizontal="center" vertical="center" textRotation="0" wrapText="true" indent="0" shrinkToFit="false"/>
      <protection locked="true" hidden="false"/>
    </xf>
    <xf numFmtId="172" fontId="0" fillId="0" borderId="15" xfId="0" applyFont="true" applyBorder="true" applyAlignment="true" applyProtection="true">
      <alignment horizontal="center" vertical="center" textRotation="0" wrapText="false" indent="0" shrinkToFit="false"/>
      <protection locked="true" hidden="false"/>
    </xf>
    <xf numFmtId="174" fontId="0" fillId="10" borderId="14" xfId="0" applyFont="true" applyBorder="true" applyAlignment="true" applyProtection="true">
      <alignment horizontal="left" vertical="center" textRotation="0" wrapText="true" indent="1" shrinkToFit="false"/>
      <protection locked="false" hidden="false"/>
    </xf>
    <xf numFmtId="172" fontId="7" fillId="12" borderId="14" xfId="0" applyFont="true" applyBorder="true" applyAlignment="true" applyProtection="true">
      <alignment horizontal="left" vertical="top" textRotation="0" wrapText="true" indent="1" shrinkToFit="false"/>
      <protection locked="true" hidden="false"/>
    </xf>
    <xf numFmtId="164" fontId="0" fillId="0" borderId="15" xfId="0" applyFont="true" applyBorder="true" applyAlignment="true" applyProtection="true">
      <alignment horizontal="center" vertical="center" textRotation="0" wrapText="false" indent="0" shrinkToFit="false"/>
      <protection locked="true" hidden="false"/>
    </xf>
    <xf numFmtId="165" fontId="7" fillId="15" borderId="15" xfId="0" applyFont="true" applyBorder="true" applyAlignment="true" applyProtection="true">
      <alignment horizontal="general" vertical="center" textRotation="0" wrapText="true" indent="0" shrinkToFit="false"/>
      <protection locked="true" hidden="false"/>
    </xf>
    <xf numFmtId="165" fontId="7" fillId="15" borderId="16" xfId="0" applyFont="true" applyBorder="true" applyAlignment="true" applyProtection="true">
      <alignment horizontal="general" vertical="center" textRotation="0" wrapText="true" indent="0" shrinkToFit="false"/>
      <protection locked="true" hidden="false"/>
    </xf>
    <xf numFmtId="165" fontId="7" fillId="0" borderId="12" xfId="0" applyFont="true" applyBorder="true" applyAlignment="true" applyProtection="true">
      <alignment horizontal="center" vertical="center" textRotation="0" wrapText="true" indent="0" shrinkToFit="false"/>
      <protection locked="true" hidden="false"/>
    </xf>
    <xf numFmtId="165" fontId="7" fillId="0" borderId="21" xfId="0" applyFont="true" applyBorder="true" applyAlignment="true" applyProtection="true">
      <alignment horizontal="general" vertical="center" textRotation="0" wrapText="true" indent="0" shrinkToFit="false"/>
      <protection locked="true" hidden="false"/>
    </xf>
    <xf numFmtId="165" fontId="7" fillId="15" borderId="23" xfId="0" applyFont="true" applyBorder="true" applyAlignment="true" applyProtection="true">
      <alignment horizontal="general" vertical="center" textRotation="0" wrapText="true" indent="0" shrinkToFit="false"/>
      <protection locked="true" hidden="false"/>
    </xf>
    <xf numFmtId="164" fontId="91" fillId="0" borderId="0" xfId="0" applyFont="true" applyBorder="true" applyAlignment="true" applyProtection="true">
      <alignment horizontal="center" vertical="center" textRotation="0" wrapText="true" indent="0" shrinkToFit="false"/>
      <protection locked="true" hidden="false"/>
    </xf>
    <xf numFmtId="165" fontId="7" fillId="7" borderId="27" xfId="0" applyFont="true" applyBorder="true" applyAlignment="true" applyProtection="true">
      <alignment horizontal="center" vertical="center" textRotation="0" wrapText="true" indent="0" shrinkToFit="false"/>
      <protection locked="true" hidden="false"/>
    </xf>
    <xf numFmtId="165" fontId="0" fillId="7" borderId="24" xfId="0" applyFont="true" applyBorder="true" applyAlignment="true" applyProtection="true">
      <alignment horizontal="center" vertical="center" textRotation="0" wrapText="true" indent="0" shrinkToFit="false"/>
      <protection locked="true" hidden="false"/>
    </xf>
    <xf numFmtId="165" fontId="0" fillId="0" borderId="14" xfId="0" applyFont="true" applyBorder="true" applyAlignment="true" applyProtection="true">
      <alignment horizontal="left" vertical="center" textRotation="0" wrapText="true" indent="1" shrinkToFit="false"/>
      <protection locked="true" hidden="false"/>
    </xf>
    <xf numFmtId="165" fontId="7" fillId="15" borderId="31" xfId="0" applyFont="true" applyBorder="true" applyAlignment="true" applyProtection="true">
      <alignment horizontal="general" vertical="center" textRotation="0" wrapText="true" indent="0" shrinkToFit="false"/>
      <protection locked="true" hidden="false"/>
    </xf>
    <xf numFmtId="165" fontId="7" fillId="7" borderId="11" xfId="0" applyFont="true" applyBorder="true" applyAlignment="true" applyProtection="true">
      <alignment horizontal="general" vertical="center" textRotation="0" wrapText="true" indent="0" shrinkToFit="false"/>
      <protection locked="true" hidden="false"/>
    </xf>
    <xf numFmtId="164" fontId="72" fillId="0" borderId="11" xfId="0" applyFont="true" applyBorder="true" applyAlignment="true" applyProtection="true">
      <alignment horizontal="general" vertical="top" textRotation="0" wrapText="false" indent="0" shrinkToFit="false"/>
      <protection locked="true" hidden="false"/>
    </xf>
    <xf numFmtId="165" fontId="18" fillId="7" borderId="11" xfId="0" applyFont="true" applyBorder="true" applyAlignment="true" applyProtection="true">
      <alignment horizontal="center" vertical="bottom" textRotation="0" wrapText="true" indent="0" shrinkToFit="false"/>
      <protection locked="true" hidden="false"/>
    </xf>
    <xf numFmtId="165" fontId="7" fillId="0" borderId="8" xfId="0" applyFont="true" applyBorder="true" applyAlignment="true" applyProtection="true">
      <alignment horizontal="center" vertical="center" textRotation="0" wrapText="false" indent="0" shrinkToFit="false"/>
      <protection locked="true" hidden="false"/>
    </xf>
    <xf numFmtId="165" fontId="7" fillId="0" borderId="5" xfId="0" applyFont="true" applyBorder="true" applyAlignment="true" applyProtection="true">
      <alignment horizontal="general" vertical="center" textRotation="0" wrapText="true" indent="0" shrinkToFit="false"/>
      <protection locked="true" hidden="false"/>
    </xf>
    <xf numFmtId="165" fontId="92" fillId="0" borderId="0" xfId="0" applyFont="true" applyBorder="true" applyAlignment="true" applyProtection="true">
      <alignment horizontal="general" vertical="center" textRotation="0" wrapText="false" indent="0" shrinkToFit="false"/>
      <protection locked="true" hidden="false"/>
    </xf>
    <xf numFmtId="165" fontId="7" fillId="0" borderId="0" xfId="0" applyFont="true" applyBorder="true" applyAlignment="true" applyProtection="true">
      <alignment horizontal="left" vertical="center" textRotation="0" wrapText="true" indent="0" shrinkToFit="false"/>
      <protection locked="true" hidden="false"/>
    </xf>
    <xf numFmtId="165" fontId="7" fillId="7" borderId="16" xfId="0" applyFont="true" applyBorder="true" applyAlignment="true" applyProtection="true">
      <alignment horizontal="general" vertical="center" textRotation="0" wrapText="true" indent="0" shrinkToFit="false"/>
      <protection locked="true" hidden="false"/>
    </xf>
    <xf numFmtId="165" fontId="33" fillId="0" borderId="11" xfId="0" applyFont="true" applyBorder="true" applyAlignment="true" applyProtection="true">
      <alignment horizontal="general" vertical="center" textRotation="0" wrapText="true" indent="0" shrinkToFit="false"/>
      <protection locked="true" hidden="false"/>
    </xf>
    <xf numFmtId="165" fontId="7" fillId="0" borderId="43" xfId="0" applyFont="true" applyBorder="true" applyAlignment="true" applyProtection="true">
      <alignment horizontal="center" vertical="center" textRotation="0" wrapText="false" indent="0" shrinkToFit="false"/>
      <protection locked="true" hidden="false"/>
    </xf>
    <xf numFmtId="165" fontId="7" fillId="0" borderId="5" xfId="0" applyFont="true" applyBorder="true" applyAlignment="true" applyProtection="true">
      <alignment horizontal="general" vertical="center" textRotation="0" wrapText="false" indent="0" shrinkToFit="false"/>
      <protection locked="true" hidden="false"/>
    </xf>
    <xf numFmtId="164" fontId="7" fillId="0" borderId="18" xfId="0" applyFont="true" applyBorder="true" applyAlignment="true" applyProtection="true">
      <alignment horizontal="general" vertical="top" textRotation="0" wrapText="false" indent="0" shrinkToFit="false"/>
      <protection locked="true" hidden="false"/>
    </xf>
    <xf numFmtId="172" fontId="0" fillId="12" borderId="14" xfId="0" applyFont="true" applyBorder="true" applyAlignment="true" applyProtection="true">
      <alignment horizontal="center" vertical="center" textRotation="0" wrapText="true" indent="0" shrinkToFit="false"/>
      <protection locked="true" hidden="false"/>
    </xf>
    <xf numFmtId="164" fontId="0" fillId="12" borderId="14" xfId="0" applyFont="true" applyBorder="true" applyAlignment="true" applyProtection="true">
      <alignment horizontal="center" vertical="center" textRotation="0" wrapText="false" indent="0" shrinkToFit="false"/>
      <protection locked="true" hidden="false"/>
    </xf>
    <xf numFmtId="165" fontId="7" fillId="0" borderId="18" xfId="0" applyFont="true" applyBorder="true" applyAlignment="true" applyProtection="true">
      <alignment horizontal="general" vertical="center" textRotation="0" wrapText="true" indent="0" shrinkToFit="false"/>
      <protection locked="true" hidden="false"/>
    </xf>
    <xf numFmtId="171" fontId="0" fillId="12" borderId="14" xfId="0" applyFont="true" applyBorder="true" applyAlignment="true" applyProtection="true">
      <alignment horizontal="right" vertical="center" textRotation="0" wrapText="true" indent="0" shrinkToFit="false"/>
      <protection locked="true" hidden="false"/>
    </xf>
    <xf numFmtId="171" fontId="0" fillId="10" borderId="14" xfId="0" applyFont="true" applyBorder="true" applyAlignment="true" applyProtection="true">
      <alignment horizontal="right" vertical="center" textRotation="0" wrapText="true" indent="0" shrinkToFit="false"/>
      <protection locked="false" hidden="false"/>
    </xf>
    <xf numFmtId="164" fontId="0" fillId="0" borderId="14" xfId="0" applyFont="true" applyBorder="true" applyAlignment="true" applyProtection="true">
      <alignment horizontal="left" vertical="center" textRotation="0" wrapText="true" indent="3" shrinkToFit="false"/>
      <protection locked="true" hidden="false"/>
    </xf>
    <xf numFmtId="164" fontId="57" fillId="0" borderId="0" xfId="0" applyFont="true" applyBorder="true" applyAlignment="true" applyProtection="true">
      <alignment horizontal="general" vertical="center" textRotation="0" wrapText="true" indent="0" shrinkToFit="false"/>
      <protection locked="true" hidden="false"/>
    </xf>
    <xf numFmtId="164" fontId="58" fillId="0" borderId="0" xfId="0" applyFont="true" applyBorder="true" applyAlignment="true" applyProtection="true">
      <alignment horizontal="general" vertical="center" textRotation="0" wrapText="true" indent="0" shrinkToFit="false"/>
      <protection locked="true" hidden="false"/>
    </xf>
    <xf numFmtId="164" fontId="57" fillId="0" borderId="0" xfId="0" applyFont="true" applyBorder="true" applyAlignment="true" applyProtection="true">
      <alignment horizontal="general" vertical="center" textRotation="0" wrapText="false" indent="0" shrinkToFit="false"/>
      <protection locked="true" hidden="false"/>
    </xf>
    <xf numFmtId="164" fontId="58" fillId="0" borderId="0" xfId="0" applyFont="true" applyBorder="true" applyAlignment="true" applyProtection="true">
      <alignment horizontal="general" vertical="center" textRotation="0" wrapText="false" indent="0" shrinkToFit="false"/>
      <protection locked="true" hidden="false"/>
    </xf>
    <xf numFmtId="164" fontId="57" fillId="0" borderId="0" xfId="0" applyFont="true" applyBorder="true" applyAlignment="true" applyProtection="true">
      <alignment horizontal="general" vertical="top" textRotation="0" wrapText="false" indent="0" shrinkToFit="false"/>
      <protection locked="true" hidden="false"/>
    </xf>
    <xf numFmtId="164" fontId="31" fillId="0" borderId="0" xfId="0" applyFont="true" applyBorder="true" applyAlignment="true" applyProtection="true">
      <alignment horizontal="center" vertical="top" textRotation="0" wrapText="true" indent="0" shrinkToFit="false"/>
      <protection locked="true" hidden="false"/>
    </xf>
    <xf numFmtId="164" fontId="7" fillId="7" borderId="0" xfId="0" applyFont="true" applyBorder="true" applyAlignment="true" applyProtection="true">
      <alignment horizontal="center" vertical="top" textRotation="0" wrapText="true" indent="0" shrinkToFit="false"/>
      <protection locked="true" hidden="false"/>
    </xf>
    <xf numFmtId="172" fontId="7" fillId="0" borderId="17" xfId="0" applyFont="true" applyBorder="true" applyAlignment="true" applyProtection="true">
      <alignment horizontal="left" vertical="top" textRotation="0" wrapText="true" indent="0" shrinkToFit="false"/>
      <protection locked="true" hidden="false"/>
    </xf>
    <xf numFmtId="172" fontId="7" fillId="0" borderId="31" xfId="0" applyFont="true" applyBorder="true" applyAlignment="true" applyProtection="true">
      <alignment horizontal="left" vertical="center" textRotation="0" wrapText="true" indent="1" shrinkToFit="false"/>
      <protection locked="true" hidden="false"/>
    </xf>
    <xf numFmtId="164" fontId="57" fillId="0" borderId="0" xfId="0" applyFont="true" applyBorder="true" applyAlignment="true" applyProtection="true">
      <alignment horizontal="center" vertical="center" textRotation="0" wrapText="true" indent="0" shrinkToFit="false"/>
      <protection locked="true" hidden="false"/>
    </xf>
    <xf numFmtId="164" fontId="58" fillId="0" borderId="0" xfId="0" applyFont="true" applyBorder="true" applyAlignment="true" applyProtection="true">
      <alignment horizontal="center" vertical="center" textRotation="0" wrapText="true" indent="0" shrinkToFit="false"/>
      <protection locked="true" hidden="false"/>
    </xf>
    <xf numFmtId="165" fontId="57" fillId="0" borderId="0" xfId="0" applyFont="true" applyBorder="true" applyAlignment="true" applyProtection="true">
      <alignment horizontal="center" vertical="center" textRotation="0" wrapText="true" indent="0" shrinkToFit="false"/>
      <protection locked="true" hidden="false"/>
    </xf>
    <xf numFmtId="165" fontId="7" fillId="17" borderId="14" xfId="0" applyFont="true" applyBorder="true" applyAlignment="true" applyProtection="true">
      <alignment horizontal="center" vertical="center" textRotation="0" wrapText="true" indent="0" shrinkToFit="false"/>
      <protection locked="true" hidden="false"/>
    </xf>
    <xf numFmtId="164" fontId="31" fillId="18" borderId="14" xfId="0" applyFont="true" applyBorder="true" applyAlignment="true" applyProtection="true">
      <alignment horizontal="center" vertical="center" textRotation="0" wrapText="true" indent="0" shrinkToFit="false"/>
      <protection locked="true" hidden="false"/>
    </xf>
    <xf numFmtId="164" fontId="31" fillId="19" borderId="14" xfId="0" applyFont="true" applyBorder="true" applyAlignment="true" applyProtection="true">
      <alignment horizontal="center" vertical="center" textRotation="0" wrapText="true" indent="0" shrinkToFit="false"/>
      <protection locked="true" hidden="false"/>
    </xf>
    <xf numFmtId="164" fontId="7" fillId="20" borderId="15" xfId="0" applyFont="true" applyBorder="true" applyAlignment="true" applyProtection="true">
      <alignment horizontal="center" vertical="center" textRotation="0" wrapText="true" indent="0" shrinkToFit="false"/>
      <protection locked="true" hidden="false"/>
    </xf>
    <xf numFmtId="164" fontId="7" fillId="3" borderId="12" xfId="0" applyFont="true" applyBorder="true" applyAlignment="true" applyProtection="true">
      <alignment horizontal="center" vertical="center" textRotation="0" wrapText="true" indent="0" shrinkToFit="false"/>
      <protection locked="true" hidden="false"/>
    </xf>
    <xf numFmtId="164" fontId="57" fillId="7" borderId="0" xfId="0" applyFont="true" applyBorder="true" applyAlignment="true" applyProtection="true">
      <alignment horizontal="general" vertical="center" textRotation="0" wrapText="true" indent="0" shrinkToFit="false"/>
      <protection locked="true" hidden="false"/>
    </xf>
    <xf numFmtId="164" fontId="7" fillId="3" borderId="14" xfId="0" applyFont="true" applyBorder="true" applyAlignment="true" applyProtection="true">
      <alignment horizontal="center" vertical="center" textRotation="0" wrapText="true" indent="0" shrinkToFit="false"/>
      <protection locked="true" hidden="false"/>
    </xf>
    <xf numFmtId="165" fontId="7" fillId="3" borderId="14" xfId="0" applyFont="true" applyBorder="true" applyAlignment="true" applyProtection="true">
      <alignment horizontal="center" vertical="center" textRotation="0" wrapText="true" indent="0" shrinkToFit="false"/>
      <protection locked="true" hidden="false"/>
    </xf>
    <xf numFmtId="165" fontId="7" fillId="3" borderId="15" xfId="0" applyFont="true" applyBorder="true" applyAlignment="true" applyProtection="true">
      <alignment horizontal="center" vertical="center" textRotation="0" wrapText="true" indent="0" shrinkToFit="false"/>
      <protection locked="true" hidden="false"/>
    </xf>
    <xf numFmtId="165" fontId="7" fillId="3" borderId="21" xfId="0" applyFont="true" applyBorder="true" applyAlignment="true" applyProtection="true">
      <alignment horizontal="center" vertical="center" textRotation="0" wrapText="true" indent="0" shrinkToFit="false"/>
      <protection locked="true" hidden="false"/>
    </xf>
    <xf numFmtId="164" fontId="57" fillId="7" borderId="0" xfId="0" applyFont="true" applyBorder="true" applyAlignment="true" applyProtection="true">
      <alignment horizontal="general" vertical="center" textRotation="0" wrapText="false" indent="0" shrinkToFit="false"/>
      <protection locked="true" hidden="false"/>
    </xf>
    <xf numFmtId="164" fontId="53" fillId="0" borderId="14" xfId="0" applyFont="true" applyBorder="true" applyAlignment="true" applyProtection="true">
      <alignment horizontal="center" vertical="center" textRotation="0" wrapText="false" indent="0" shrinkToFit="false"/>
      <protection locked="true" hidden="false"/>
    </xf>
    <xf numFmtId="164" fontId="53" fillId="3" borderId="14" xfId="0" applyFont="true" applyBorder="true" applyAlignment="true" applyProtection="true">
      <alignment horizontal="center" vertical="center" textRotation="0" wrapText="false" indent="0" shrinkToFit="false"/>
      <protection locked="true" hidden="false"/>
    </xf>
    <xf numFmtId="165" fontId="53" fillId="0" borderId="14" xfId="0" applyFont="true" applyBorder="true" applyAlignment="true" applyProtection="true">
      <alignment horizontal="center" vertical="center" textRotation="0" wrapText="false" indent="0" shrinkToFit="false"/>
      <protection locked="true" hidden="false"/>
    </xf>
    <xf numFmtId="164" fontId="53" fillId="0" borderId="20"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31" fillId="0" borderId="27" xfId="0" applyFont="true" applyBorder="true" applyAlignment="true" applyProtection="true">
      <alignment horizontal="center" vertical="center" textRotation="0" wrapText="false" indent="0" shrinkToFit="false"/>
      <protection locked="true" hidden="false"/>
    </xf>
    <xf numFmtId="165" fontId="7" fillId="0" borderId="27" xfId="0" applyFont="true" applyBorder="true" applyAlignment="true" applyProtection="true">
      <alignment horizontal="right" vertical="center" textRotation="0" wrapText="false" indent="0" shrinkToFit="false"/>
      <protection locked="true" hidden="false"/>
    </xf>
    <xf numFmtId="165" fontId="7" fillId="0" borderId="27" xfId="0" applyFont="true" applyBorder="true" applyAlignment="true" applyProtection="true">
      <alignment horizontal="center" vertical="center" textRotation="0" wrapText="false" indent="0" shrinkToFit="false"/>
      <protection locked="true" hidden="false"/>
    </xf>
    <xf numFmtId="165" fontId="7" fillId="0" borderId="14" xfId="0" applyFont="true" applyBorder="true" applyAlignment="true" applyProtection="true">
      <alignment horizontal="right" vertical="center" textRotation="0" wrapText="false" indent="0" shrinkToFit="false"/>
      <protection locked="true" hidden="false"/>
    </xf>
    <xf numFmtId="171" fontId="57" fillId="7" borderId="0" xfId="0" applyFont="true" applyBorder="true" applyAlignment="true" applyProtection="true">
      <alignment horizontal="general" vertical="center" textRotation="0" wrapText="false" indent="0" shrinkToFit="false"/>
      <protection locked="true" hidden="false"/>
    </xf>
    <xf numFmtId="165" fontId="53" fillId="0" borderId="0" xfId="63" applyFont="true" applyBorder="true" applyAlignment="true" applyProtection="true">
      <alignment horizontal="center" vertical="center" textRotation="0" wrapText="true" indent="0" shrinkToFit="false"/>
      <protection locked="true" hidden="false"/>
    </xf>
    <xf numFmtId="172" fontId="7" fillId="12" borderId="15" xfId="0" applyFont="true" applyBorder="true" applyAlignment="true" applyProtection="true">
      <alignment horizontal="left" vertical="top" textRotation="0" wrapText="true" indent="1" shrinkToFit="false"/>
      <protection locked="true" hidden="false"/>
    </xf>
    <xf numFmtId="172" fontId="7" fillId="0" borderId="14" xfId="0" applyFont="true" applyBorder="true" applyAlignment="true" applyProtection="true">
      <alignment horizontal="left" vertical="top" textRotation="0" wrapText="true" indent="0" shrinkToFit="false"/>
      <protection locked="true" hidden="false"/>
    </xf>
    <xf numFmtId="176" fontId="7" fillId="13" borderId="15" xfId="0" applyFont="true" applyBorder="true" applyAlignment="true" applyProtection="true">
      <alignment horizontal="general" vertical="center" textRotation="0" wrapText="true" indent="0" shrinkToFit="false"/>
      <protection locked="false" hidden="false"/>
    </xf>
    <xf numFmtId="172" fontId="7" fillId="0" borderId="14" xfId="0" applyFont="true" applyBorder="true" applyAlignment="true" applyProtection="true">
      <alignment horizontal="general" vertical="top" textRotation="0" wrapText="true" indent="0" shrinkToFit="false"/>
      <protection locked="true" hidden="false"/>
    </xf>
    <xf numFmtId="171" fontId="7" fillId="12" borderId="15" xfId="0" applyFont="true" applyBorder="true" applyAlignment="true" applyProtection="true">
      <alignment horizontal="right" vertical="center" textRotation="0" wrapText="true" indent="0" shrinkToFit="false"/>
      <protection locked="true" hidden="false"/>
    </xf>
    <xf numFmtId="165" fontId="31" fillId="0" borderId="14" xfId="0" applyFont="true" applyBorder="true" applyAlignment="true" applyProtection="true">
      <alignment horizontal="general" vertical="top" textRotation="0" wrapText="true" indent="0" shrinkToFit="false"/>
      <protection locked="true" hidden="false"/>
    </xf>
    <xf numFmtId="165" fontId="7" fillId="0" borderId="0" xfId="0" applyFont="true" applyBorder="true" applyAlignment="true" applyProtection="true">
      <alignment horizontal="left" vertical="center" textRotation="0" wrapText="true" indent="2" shrinkToFit="false"/>
      <protection locked="true" hidden="false"/>
    </xf>
    <xf numFmtId="165" fontId="7" fillId="7" borderId="0" xfId="0" applyFont="true" applyBorder="true" applyAlignment="true" applyProtection="true">
      <alignment horizontal="right" vertical="center" textRotation="0" wrapText="true" indent="0" shrinkToFit="false"/>
      <protection locked="true" hidden="false"/>
    </xf>
    <xf numFmtId="165" fontId="7" fillId="7" borderId="0" xfId="0" applyFont="true" applyBorder="true" applyAlignment="true" applyProtection="true">
      <alignment horizontal="right" vertical="center" textRotation="0" wrapText="false" indent="0" shrinkToFit="false"/>
      <protection locked="true" hidden="false"/>
    </xf>
    <xf numFmtId="165" fontId="7" fillId="7" borderId="14" xfId="0" applyFont="true" applyBorder="true" applyAlignment="true" applyProtection="true">
      <alignment horizontal="center" vertical="center" textRotation="0" wrapText="false" indent="0" shrinkToFit="false"/>
      <protection locked="true" hidden="false"/>
    </xf>
    <xf numFmtId="172" fontId="0" fillId="0" borderId="14" xfId="0" applyFont="true" applyBorder="true" applyAlignment="true" applyProtection="true">
      <alignment horizontal="general" vertical="center" textRotation="0" wrapText="true" indent="0" shrinkToFit="false"/>
      <protection locked="true" hidden="false"/>
    </xf>
    <xf numFmtId="172" fontId="0" fillId="0" borderId="14" xfId="0" applyFont="true" applyBorder="true" applyAlignment="true" applyProtection="true">
      <alignment horizontal="left" vertical="center" textRotation="0" wrapText="true" indent="1" shrinkToFit="false"/>
      <protection locked="true" hidden="false"/>
    </xf>
    <xf numFmtId="165" fontId="0" fillId="13" borderId="14" xfId="0" applyFont="true" applyBorder="true" applyAlignment="true" applyProtection="true">
      <alignment horizontal="left" vertical="center" textRotation="0" wrapText="true" indent="2" shrinkToFit="false"/>
      <protection locked="false" hidden="false"/>
    </xf>
    <xf numFmtId="164" fontId="93" fillId="15" borderId="21" xfId="0" applyFont="true" applyBorder="true" applyAlignment="true" applyProtection="true">
      <alignment horizontal="center" vertical="top" textRotation="0" wrapText="false" indent="0" shrinkToFit="false"/>
      <protection locked="true" hidden="false"/>
    </xf>
    <xf numFmtId="164" fontId="93" fillId="15" borderId="12" xfId="0" applyFont="true" applyBorder="true" applyAlignment="true" applyProtection="true">
      <alignment horizontal="center" vertical="top" textRotation="0" wrapText="false" indent="0" shrinkToFit="false"/>
      <protection locked="true" hidden="false"/>
    </xf>
    <xf numFmtId="164" fontId="67" fillId="0" borderId="14" xfId="0" applyFont="true" applyBorder="true" applyAlignment="true" applyProtection="true">
      <alignment horizontal="center" vertical="center" textRotation="0" wrapText="true" indent="0" shrinkToFit="false"/>
      <protection locked="true" hidden="false"/>
    </xf>
    <xf numFmtId="165" fontId="67" fillId="0" borderId="14" xfId="0" applyFont="true" applyBorder="true" applyAlignment="true" applyProtection="true">
      <alignment horizontal="left" vertical="center" textRotation="0" wrapText="true" indent="2" shrinkToFit="false"/>
      <protection locked="true" hidden="false"/>
    </xf>
    <xf numFmtId="164" fontId="94" fillId="0" borderId="15" xfId="0" applyFont="true" applyBorder="true" applyAlignment="true" applyProtection="true">
      <alignment horizontal="left" vertical="center" textRotation="0" wrapText="true" indent="0" shrinkToFit="false"/>
      <protection locked="true" hidden="false"/>
    </xf>
    <xf numFmtId="165" fontId="7" fillId="0" borderId="27" xfId="0" applyFont="true" applyBorder="true" applyAlignment="true" applyProtection="true">
      <alignment horizontal="general" vertical="top" textRotation="0" wrapText="true" indent="0" shrinkToFit="false"/>
      <protection locked="true" hidden="false"/>
    </xf>
    <xf numFmtId="164" fontId="95" fillId="0" borderId="0" xfId="0" applyFont="true" applyBorder="true" applyAlignment="true" applyProtection="true">
      <alignment horizontal="center" vertical="center" textRotation="0" wrapText="true" indent="0" shrinkToFit="false"/>
      <protection locked="true" hidden="false"/>
    </xf>
    <xf numFmtId="165" fontId="0" fillId="13" borderId="14" xfId="0" applyFont="true" applyBorder="true" applyAlignment="true" applyProtection="true">
      <alignment horizontal="left" vertical="center" textRotation="0" wrapText="true" indent="0" shrinkToFit="false"/>
      <protection locked="false" hidden="false"/>
    </xf>
    <xf numFmtId="165" fontId="0" fillId="0" borderId="14" xfId="0" applyFont="true" applyBorder="true" applyAlignment="true" applyProtection="true">
      <alignment horizontal="left" vertical="center" textRotation="0" wrapText="true" indent="2" shrinkToFit="false"/>
      <protection locked="true" hidden="false"/>
    </xf>
    <xf numFmtId="165" fontId="0" fillId="0" borderId="14" xfId="0" applyFont="true" applyBorder="true" applyAlignment="true" applyProtection="true">
      <alignment horizontal="left" vertical="center" textRotation="0" wrapText="true" indent="0" shrinkToFit="false"/>
      <protection locked="true" hidden="false"/>
    </xf>
    <xf numFmtId="174" fontId="0" fillId="13" borderId="14" xfId="0" applyFont="true" applyBorder="true" applyAlignment="true" applyProtection="true">
      <alignment horizontal="left" vertical="center" textRotation="0" wrapText="true" indent="0" shrinkToFit="false"/>
      <protection locked="false" hidden="false"/>
    </xf>
    <xf numFmtId="172" fontId="0" fillId="0" borderId="14" xfId="0" applyFont="true" applyBorder="true" applyAlignment="true" applyProtection="true">
      <alignment horizontal="left" vertical="center" textRotation="0" wrapText="true" indent="0" shrinkToFit="false"/>
      <protection locked="true" hidden="false"/>
    </xf>
    <xf numFmtId="174" fontId="0" fillId="13" borderId="21" xfId="0" applyFont="true" applyBorder="true" applyAlignment="true" applyProtection="true">
      <alignment horizontal="left" vertical="center" textRotation="0" wrapText="true" indent="0" shrinkToFit="false"/>
      <protection locked="false" hidden="false"/>
    </xf>
    <xf numFmtId="174" fontId="0" fillId="13" borderId="15" xfId="0" applyFont="true" applyBorder="true" applyAlignment="true" applyProtection="true">
      <alignment horizontal="left" vertical="center" textRotation="0" wrapText="true" indent="0" shrinkToFit="false"/>
      <protection locked="false" hidden="false"/>
    </xf>
    <xf numFmtId="165" fontId="0" fillId="0" borderId="32" xfId="0" applyFont="true" applyBorder="true" applyAlignment="true" applyProtection="true">
      <alignment horizontal="center" vertical="center" textRotation="0" wrapText="true" indent="0" shrinkToFit="false"/>
      <protection locked="true" hidden="false"/>
    </xf>
    <xf numFmtId="172" fontId="7" fillId="0" borderId="12" xfId="0" applyFont="true" applyBorder="true" applyAlignment="true" applyProtection="true">
      <alignment horizontal="left" vertical="top" textRotation="0" wrapText="true" indent="1" shrinkToFit="false"/>
      <protection locked="true" hidden="false"/>
    </xf>
    <xf numFmtId="172" fontId="0" fillId="7" borderId="15" xfId="0" applyFont="true" applyBorder="true" applyAlignment="true" applyProtection="true">
      <alignment horizontal="right" vertical="center" textRotation="0" wrapText="true" indent="1" shrinkToFit="false"/>
      <protection locked="true" hidden="false"/>
    </xf>
    <xf numFmtId="164" fontId="53" fillId="7" borderId="16" xfId="0" applyFont="true" applyBorder="true" applyAlignment="true" applyProtection="true">
      <alignment horizontal="center" vertical="center" textRotation="0" wrapText="true" indent="0" shrinkToFit="false"/>
      <protection locked="true" hidden="false"/>
    </xf>
    <xf numFmtId="164" fontId="0" fillId="7" borderId="27" xfId="0" applyFont="true" applyBorder="true" applyAlignment="true" applyProtection="true">
      <alignment horizontal="center" vertical="center" textRotation="0" wrapText="true" indent="0" shrinkToFit="false"/>
      <protection locked="true" hidden="false"/>
    </xf>
    <xf numFmtId="172" fontId="0" fillId="0" borderId="27" xfId="0" applyFont="true" applyBorder="true" applyAlignment="true" applyProtection="true">
      <alignment horizontal="left" vertical="center" textRotation="0" wrapText="true" indent="0" shrinkToFit="false"/>
      <protection locked="true" hidden="false"/>
    </xf>
    <xf numFmtId="165" fontId="78" fillId="7" borderId="0" xfId="0" applyFont="true" applyBorder="true" applyAlignment="true" applyProtection="true">
      <alignment horizontal="center" vertical="top" textRotation="0" wrapText="true" indent="0" shrinkToFit="false"/>
      <protection locked="true" hidden="false"/>
    </xf>
    <xf numFmtId="172" fontId="0" fillId="12" borderId="15" xfId="0" applyFont="true" applyBorder="true" applyAlignment="true" applyProtection="true">
      <alignment horizontal="left" vertical="center" textRotation="0" wrapText="true" indent="1" shrinkToFit="false"/>
      <protection locked="true" hidden="false"/>
    </xf>
    <xf numFmtId="172" fontId="7" fillId="0" borderId="27" xfId="0" applyFont="true" applyBorder="true" applyAlignment="true" applyProtection="true">
      <alignment horizontal="left" vertical="top" textRotation="0" wrapText="true" indent="0" shrinkToFit="false"/>
      <protection locked="true" hidden="false"/>
    </xf>
    <xf numFmtId="164" fontId="56" fillId="15" borderId="23" xfId="0" applyFont="true" applyBorder="true" applyAlignment="true" applyProtection="true">
      <alignment horizontal="left" vertical="center" textRotation="0" wrapText="false" indent="2" shrinkToFit="false"/>
      <protection locked="true" hidden="false"/>
    </xf>
    <xf numFmtId="165" fontId="78" fillId="7" borderId="19" xfId="0" applyFont="true" applyBorder="true" applyAlignment="true" applyProtection="true">
      <alignment horizontal="center" vertical="top" textRotation="0" wrapText="true" indent="0" shrinkToFit="false"/>
      <protection locked="true" hidden="false"/>
    </xf>
    <xf numFmtId="164" fontId="0" fillId="7" borderId="20" xfId="0" applyFont="true" applyBorder="true" applyAlignment="true" applyProtection="true">
      <alignment horizontal="center" vertical="center" textRotation="0" wrapText="true" indent="0" shrinkToFit="false"/>
      <protection locked="true" hidden="false"/>
    </xf>
    <xf numFmtId="172" fontId="0" fillId="12" borderId="20" xfId="0" applyFont="true" applyBorder="true" applyAlignment="true" applyProtection="true">
      <alignment horizontal="left" vertical="center" textRotation="0" wrapText="true" indent="1" shrinkToFit="false"/>
      <protection locked="true" hidden="false"/>
    </xf>
    <xf numFmtId="164" fontId="0" fillId="7" borderId="15" xfId="0" applyFont="true" applyBorder="true" applyAlignment="true" applyProtection="true">
      <alignment horizontal="center" vertical="center" textRotation="0" wrapText="true" indent="0" shrinkToFit="false"/>
      <protection locked="true" hidden="false"/>
    </xf>
    <xf numFmtId="165" fontId="7" fillId="0" borderId="32" xfId="0" applyFont="true" applyBorder="true" applyAlignment="true" applyProtection="true">
      <alignment horizontal="left" vertical="top" textRotation="0" wrapText="true" indent="0" shrinkToFit="false"/>
      <protection locked="true" hidden="false"/>
    </xf>
    <xf numFmtId="164" fontId="7" fillId="0" borderId="16" xfId="0" applyFont="true" applyBorder="true" applyAlignment="true" applyProtection="true">
      <alignment horizontal="general" vertical="top" textRotation="0" wrapText="false" indent="0" shrinkToFit="false"/>
      <protection locked="true" hidden="false"/>
    </xf>
    <xf numFmtId="165" fontId="6" fillId="0" borderId="0" xfId="0" applyFont="true" applyBorder="true" applyAlignment="true" applyProtection="true">
      <alignment horizontal="right" vertical="top" textRotation="0" wrapText="true" indent="0" shrinkToFit="false"/>
      <protection locked="true" hidden="false"/>
    </xf>
    <xf numFmtId="172" fontId="0" fillId="0" borderId="14" xfId="0" applyFont="true" applyBorder="true" applyAlignment="true" applyProtection="true">
      <alignment horizontal="left" vertical="top" textRotation="0" wrapText="true" indent="0" shrinkToFit="false"/>
      <protection locked="true" hidden="false"/>
    </xf>
    <xf numFmtId="165" fontId="7" fillId="0" borderId="27" xfId="0" applyFont="true" applyBorder="true" applyAlignment="true" applyProtection="true">
      <alignment horizontal="left" vertical="top" textRotation="0" wrapText="true" indent="0" shrinkToFit="false"/>
      <protection locked="true" hidden="false"/>
    </xf>
    <xf numFmtId="172" fontId="7" fillId="0" borderId="20" xfId="0" applyFont="true" applyBorder="true" applyAlignment="true" applyProtection="true">
      <alignment horizontal="left" vertical="top" textRotation="0" wrapText="true" indent="0" shrinkToFit="false"/>
      <protection locked="true" hidden="false"/>
    </xf>
    <xf numFmtId="164" fontId="56" fillId="0" borderId="16" xfId="0" applyFont="true" applyBorder="true" applyAlignment="true" applyProtection="true">
      <alignment horizontal="left" vertical="center" textRotation="0" wrapText="false" indent="0" shrinkToFit="false"/>
      <protection locked="true" hidden="false"/>
    </xf>
    <xf numFmtId="164" fontId="56" fillId="0" borderId="16" xfId="0" applyFont="true" applyBorder="true" applyAlignment="true" applyProtection="true">
      <alignment horizontal="left" vertical="center" textRotation="0" wrapText="false" indent="2" shrinkToFit="false"/>
      <protection locked="true" hidden="false"/>
    </xf>
    <xf numFmtId="164" fontId="93" fillId="0" borderId="16" xfId="0" applyFont="true" applyBorder="true" applyAlignment="true" applyProtection="true">
      <alignment horizontal="center" vertical="top" textRotation="0" wrapText="false" indent="0" shrinkToFit="false"/>
      <protection locked="true" hidden="false"/>
    </xf>
    <xf numFmtId="165" fontId="7" fillId="0" borderId="16" xfId="0" applyFont="true" applyBorder="true" applyAlignment="true" applyProtection="true">
      <alignment horizontal="left" vertical="top" textRotation="0" wrapText="true" indent="0" shrinkToFit="false"/>
      <protection locked="true" hidden="false"/>
    </xf>
    <xf numFmtId="176" fontId="7" fillId="0" borderId="15" xfId="0" applyFont="true" applyBorder="true" applyAlignment="true" applyProtection="true">
      <alignment horizontal="general" vertical="center" textRotation="0" wrapText="true" indent="0" shrinkToFit="false"/>
      <protection locked="true" hidden="false"/>
    </xf>
    <xf numFmtId="171" fontId="7" fillId="0" borderId="15" xfId="0" applyFont="true" applyBorder="true" applyAlignment="true" applyProtection="true">
      <alignment horizontal="right" vertical="center" textRotation="0" wrapText="true" indent="0" shrinkToFit="false"/>
      <protection locked="true" hidden="false"/>
    </xf>
    <xf numFmtId="165" fontId="17" fillId="0" borderId="0" xfId="0" applyFont="true" applyBorder="true" applyAlignment="true" applyProtection="true">
      <alignment horizontal="general" vertical="center" textRotation="0" wrapText="true" indent="0" shrinkToFit="false"/>
      <protection locked="true" hidden="false"/>
    </xf>
    <xf numFmtId="164" fontId="0" fillId="0" borderId="0" xfId="0" applyFont="true" applyBorder="true" applyAlignment="true" applyProtection="true">
      <alignment horizontal="general" vertical="center" textRotation="0" wrapText="true" indent="0" shrinkToFit="false"/>
      <protection locked="true" hidden="false"/>
    </xf>
    <xf numFmtId="164" fontId="31" fillId="18" borderId="0" xfId="0" applyFont="true" applyBorder="true" applyAlignment="true" applyProtection="true">
      <alignment horizontal="center" vertical="center" textRotation="0" wrapText="false" indent="0" shrinkToFit="false"/>
      <protection locked="true" hidden="false"/>
    </xf>
    <xf numFmtId="164" fontId="31" fillId="18" borderId="0" xfId="0" applyFont="true" applyBorder="true" applyAlignment="true" applyProtection="true">
      <alignment horizontal="center" vertical="center" textRotation="0" wrapText="true" indent="0" shrinkToFit="false"/>
      <protection locked="true" hidden="false"/>
    </xf>
    <xf numFmtId="164" fontId="7" fillId="0" borderId="14" xfId="0" applyFont="true" applyBorder="true" applyAlignment="true" applyProtection="true">
      <alignment horizontal="center" vertical="top" textRotation="0" wrapText="false" indent="0" shrinkToFit="false"/>
      <protection locked="true" hidden="false"/>
    </xf>
    <xf numFmtId="164" fontId="7" fillId="0" borderId="0" xfId="0" applyFont="true" applyBorder="true" applyAlignment="true" applyProtection="true">
      <alignment horizontal="center" vertical="top" textRotation="0" wrapText="false" indent="0" shrinkToFit="false"/>
      <protection locked="true" hidden="false"/>
    </xf>
    <xf numFmtId="165" fontId="0" fillId="17" borderId="14" xfId="0" applyFont="true" applyBorder="true" applyAlignment="true" applyProtection="true">
      <alignment horizontal="center" vertical="center" textRotation="0" wrapText="false" indent="0" shrinkToFit="false"/>
      <protection locked="true" hidden="false"/>
    </xf>
    <xf numFmtId="164" fontId="31" fillId="18" borderId="14" xfId="0" applyFont="true" applyBorder="true" applyAlignment="true" applyProtection="true">
      <alignment horizontal="center" vertical="center" textRotation="0" wrapText="false" indent="0" shrinkToFit="false"/>
      <protection locked="true" hidden="false"/>
    </xf>
    <xf numFmtId="164" fontId="31" fillId="19" borderId="14" xfId="0" applyFont="true" applyBorder="true" applyAlignment="true" applyProtection="true">
      <alignment horizontal="center" vertical="center" textRotation="0" wrapText="false" indent="0" shrinkToFit="false"/>
      <protection locked="true" hidden="false"/>
    </xf>
    <xf numFmtId="164" fontId="0" fillId="20" borderId="14" xfId="0" applyFont="true" applyBorder="true" applyAlignment="true" applyProtection="true">
      <alignment horizontal="center" vertical="center" textRotation="0" wrapText="false" indent="0" shrinkToFit="false"/>
      <protection locked="true" hidden="false"/>
    </xf>
    <xf numFmtId="165" fontId="7" fillId="0" borderId="14" xfId="0" applyFont="true" applyBorder="true" applyAlignment="true" applyProtection="true">
      <alignment horizontal="general" vertical="center" textRotation="0" wrapText="false" indent="0" shrinkToFit="false"/>
      <protection locked="true" hidden="false"/>
    </xf>
    <xf numFmtId="165" fontId="0" fillId="0" borderId="14" xfId="0" applyFont="true" applyBorder="true" applyAlignment="true" applyProtection="true">
      <alignment horizontal="general" vertical="center" textRotation="0" wrapText="false" indent="0" shrinkToFit="false"/>
      <protection locked="true" hidden="false"/>
    </xf>
    <xf numFmtId="165" fontId="0" fillId="0" borderId="15" xfId="0" applyFont="true" applyBorder="true" applyAlignment="true" applyProtection="true">
      <alignment horizontal="general" vertical="center" textRotation="0" wrapText="false" indent="0" shrinkToFit="false"/>
      <protection locked="true" hidden="false"/>
    </xf>
    <xf numFmtId="165" fontId="7" fillId="0" borderId="15" xfId="0" applyFont="true" applyBorder="true" applyAlignment="true" applyProtection="true">
      <alignment horizontal="left" vertical="center" textRotation="0" wrapText="false" indent="0" shrinkToFit="false"/>
      <protection locked="true" hidden="false"/>
    </xf>
    <xf numFmtId="164" fontId="7" fillId="0" borderId="44" xfId="0" applyFont="true" applyBorder="true" applyAlignment="true" applyProtection="true">
      <alignment horizontal="general" vertical="center" textRotation="0" wrapText="false" indent="0" shrinkToFit="false"/>
      <protection locked="true" hidden="false"/>
    </xf>
    <xf numFmtId="164" fontId="7" fillId="0" borderId="45" xfId="0" applyFont="true" applyBorder="true" applyAlignment="true" applyProtection="true">
      <alignment horizontal="general" vertical="top" textRotation="0" wrapText="false" indent="0" shrinkToFit="false"/>
      <protection locked="true" hidden="false"/>
    </xf>
    <xf numFmtId="164" fontId="7" fillId="0" borderId="46" xfId="0" applyFont="true" applyBorder="true" applyAlignment="true" applyProtection="true">
      <alignment horizontal="general" vertical="top" textRotation="0" wrapText="false" indent="0" shrinkToFit="false"/>
      <protection locked="true" hidden="false"/>
    </xf>
    <xf numFmtId="165" fontId="0" fillId="0" borderId="21" xfId="0" applyFont="true" applyBorder="true" applyAlignment="true" applyProtection="true">
      <alignment horizontal="general" vertical="center" textRotation="0" wrapText="false" indent="0" shrinkToFit="false"/>
      <protection locked="true" hidden="false"/>
    </xf>
    <xf numFmtId="165" fontId="0" fillId="0" borderId="14" xfId="0" applyFont="true" applyBorder="true" applyAlignment="true" applyProtection="true">
      <alignment horizontal="right" vertical="top" textRotation="0" wrapText="false" indent="0" shrinkToFit="false"/>
      <protection locked="true" hidden="false"/>
    </xf>
    <xf numFmtId="165" fontId="0" fillId="0" borderId="14" xfId="0" applyFont="true" applyBorder="true" applyAlignment="true" applyProtection="true">
      <alignment horizontal="general" vertical="top" textRotation="0" wrapText="false" indent="0" shrinkToFit="false"/>
      <protection locked="true" hidden="false"/>
    </xf>
    <xf numFmtId="165" fontId="7" fillId="0" borderId="21"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general" vertical="center" textRotation="0" wrapText="false" indent="0" shrinkToFit="false"/>
      <protection locked="true" hidden="false"/>
    </xf>
    <xf numFmtId="165" fontId="7" fillId="0" borderId="14" xfId="0" applyFont="true" applyBorder="true" applyAlignment="true" applyProtection="true">
      <alignment horizontal="general" vertical="top" textRotation="0" wrapText="false" indent="0" shrinkToFit="false"/>
      <protection locked="true" hidden="false"/>
    </xf>
    <xf numFmtId="165" fontId="0" fillId="21" borderId="0" xfId="0" applyFont="true" applyBorder="true" applyAlignment="true" applyProtection="true">
      <alignment horizontal="right" vertical="center" textRotation="0" wrapText="false" indent="0" shrinkToFit="false"/>
      <protection locked="true" hidden="false"/>
    </xf>
    <xf numFmtId="165" fontId="0" fillId="21" borderId="0" xfId="0" applyFont="true" applyBorder="true" applyAlignment="true" applyProtection="true">
      <alignment horizontal="left" vertical="center" textRotation="0" wrapText="false" indent="0" shrinkToFit="false"/>
      <protection locked="true" hidden="false"/>
    </xf>
    <xf numFmtId="165" fontId="0" fillId="0" borderId="0" xfId="0" applyFont="true" applyBorder="true" applyAlignment="true" applyProtection="true">
      <alignment horizontal="right" vertical="top" textRotation="0" wrapText="false" indent="0" shrinkToFit="false"/>
      <protection locked="true" hidden="false"/>
    </xf>
    <xf numFmtId="164" fontId="7" fillId="0" borderId="15" xfId="0" applyFont="true" applyBorder="true" applyAlignment="true" applyProtection="true">
      <alignment horizontal="general" vertical="top" textRotation="0" wrapText="false" indent="0" shrinkToFit="false"/>
      <protection locked="true" hidden="false"/>
    </xf>
    <xf numFmtId="165" fontId="0" fillId="0" borderId="0" xfId="0" applyFont="true" applyBorder="true" applyAlignment="true" applyProtection="true">
      <alignment horizontal="left" vertical="center" textRotation="0" wrapText="false" indent="0" shrinkToFit="false"/>
      <protection locked="true" hidden="false"/>
    </xf>
    <xf numFmtId="165" fontId="54" fillId="21" borderId="0" xfId="0" applyFont="true" applyBorder="true" applyAlignment="true" applyProtection="true">
      <alignment horizontal="left" vertical="center" textRotation="0" wrapText="false" indent="0" shrinkToFit="false"/>
      <protection locked="true" hidden="false"/>
    </xf>
    <xf numFmtId="165" fontId="54" fillId="0" borderId="0" xfId="0" applyFont="true" applyBorder="true" applyAlignment="true" applyProtection="true">
      <alignment horizontal="left" vertical="center" textRotation="0" wrapText="false" indent="0" shrinkToFit="false"/>
      <protection locked="true" hidden="false"/>
    </xf>
    <xf numFmtId="164" fontId="0" fillId="0" borderId="15" xfId="0" applyFont="true" applyBorder="true" applyAlignment="true" applyProtection="true">
      <alignment horizontal="general" vertical="top" textRotation="0" wrapText="false" indent="0" shrinkToFit="false"/>
      <protection locked="true" hidden="false"/>
    </xf>
    <xf numFmtId="164" fontId="7" fillId="0" borderId="14" xfId="0" applyFont="true" applyBorder="true" applyAlignment="true" applyProtection="true">
      <alignment horizontal="right" vertical="top" textRotation="0" wrapText="false" indent="0" shrinkToFit="false"/>
      <protection locked="true" hidden="false"/>
    </xf>
    <xf numFmtId="165" fontId="0" fillId="0" borderId="15" xfId="0" applyFont="true" applyBorder="true" applyAlignment="true" applyProtection="true">
      <alignment horizontal="left" vertical="center" textRotation="0" wrapText="false" indent="0" shrinkToFit="false"/>
      <protection locked="true" hidden="false"/>
    </xf>
    <xf numFmtId="164" fontId="7" fillId="0" borderId="27" xfId="0" applyFont="true" applyBorder="true" applyAlignment="true" applyProtection="true">
      <alignment horizontal="right" vertical="top" textRotation="0" wrapText="false" indent="0" shrinkToFit="false"/>
      <protection locked="true" hidden="false"/>
    </xf>
    <xf numFmtId="165" fontId="0" fillId="0" borderId="27" xfId="0" applyFont="true" applyBorder="true" applyAlignment="true" applyProtection="true">
      <alignment horizontal="general" vertical="top" textRotation="0" wrapText="false" indent="0" shrinkToFit="false"/>
      <protection locked="true" hidden="false"/>
    </xf>
    <xf numFmtId="165" fontId="7" fillId="0" borderId="27" xfId="0" applyFont="true" applyBorder="true" applyAlignment="true" applyProtection="true">
      <alignment horizontal="general" vertical="center" textRotation="0" wrapText="false" indent="0" shrinkToFit="false"/>
      <protection locked="true" hidden="false"/>
    </xf>
    <xf numFmtId="164" fontId="7" fillId="0" borderId="39" xfId="0" applyFont="true" applyBorder="true" applyAlignment="true" applyProtection="true">
      <alignment horizontal="center" vertical="center" textRotation="0" wrapText="false" indent="0" shrinkToFit="false"/>
      <protection locked="true" hidden="false"/>
    </xf>
    <xf numFmtId="164" fontId="7" fillId="0" borderId="14" xfId="0" applyFont="true" applyBorder="true" applyAlignment="true" applyProtection="true">
      <alignment horizontal="right" vertical="center" textRotation="0" wrapText="false" indent="0" shrinkToFit="false"/>
      <protection locked="true" hidden="false"/>
    </xf>
    <xf numFmtId="164" fontId="7" fillId="0" borderId="14" xfId="0" applyFont="true" applyBorder="true" applyAlignment="true" applyProtection="true">
      <alignment horizontal="general" vertical="top" textRotation="0" wrapText="false" indent="0" shrinkToFit="false"/>
      <protection locked="true" hidden="false"/>
    </xf>
    <xf numFmtId="165" fontId="7" fillId="21" borderId="0" xfId="0" applyFont="true" applyBorder="true" applyAlignment="true" applyProtection="true">
      <alignment horizontal="left" vertical="center" textRotation="0" wrapText="false" indent="0" shrinkToFit="false"/>
      <protection locked="true" hidden="false"/>
    </xf>
    <xf numFmtId="165" fontId="0" fillId="21" borderId="47" xfId="0" applyFont="true" applyBorder="true" applyAlignment="true" applyProtection="true">
      <alignment horizontal="center" vertical="bottom" textRotation="0" wrapText="false" indent="0" shrinkToFit="false"/>
      <protection locked="true" hidden="false"/>
    </xf>
    <xf numFmtId="164" fontId="96" fillId="0" borderId="46" xfId="0" applyFont="true" applyBorder="true" applyAlignment="true" applyProtection="true">
      <alignment horizontal="general" vertical="top" textRotation="0" wrapText="false" indent="0" shrinkToFit="false"/>
      <protection locked="true" hidden="false"/>
    </xf>
    <xf numFmtId="164" fontId="57" fillId="22" borderId="0" xfId="0" applyFont="true" applyBorder="true" applyAlignment="true" applyProtection="true">
      <alignment horizontal="general" vertical="center" textRotation="0" wrapText="true" indent="0" shrinkToFit="false"/>
      <protection locked="true" hidden="false"/>
    </xf>
    <xf numFmtId="165" fontId="0" fillId="0" borderId="47" xfId="0" applyFont="true" applyBorder="true" applyAlignment="true" applyProtection="true">
      <alignment horizontal="center" vertical="bottom" textRotation="0" wrapText="false" indent="0" shrinkToFit="false"/>
      <protection locked="true" hidden="false"/>
    </xf>
    <xf numFmtId="164" fontId="7" fillId="21" borderId="0" xfId="0" applyFont="true" applyBorder="true" applyAlignment="true" applyProtection="true">
      <alignment horizontal="center" vertical="center" textRotation="0" wrapText="false" indent="0" shrinkToFit="false"/>
      <protection locked="true" hidden="false"/>
    </xf>
    <xf numFmtId="164" fontId="0" fillId="10" borderId="39" xfId="0" applyFont="true" applyBorder="true" applyAlignment="true" applyProtection="true">
      <alignment horizontal="left" vertical="center" textRotation="0" wrapText="false" indent="0" shrinkToFit="false"/>
      <protection locked="false" hidden="false"/>
    </xf>
    <xf numFmtId="164" fontId="0" fillId="0" borderId="39" xfId="0" applyFont="true" applyBorder="true" applyAlignment="true" applyProtection="true">
      <alignment horizontal="right" vertical="center" textRotation="0" wrapText="false" indent="0" shrinkToFit="false"/>
      <protection locked="true" hidden="false"/>
    </xf>
    <xf numFmtId="172" fontId="0" fillId="12" borderId="39" xfId="0" applyFont="true" applyBorder="true" applyAlignment="true" applyProtection="true">
      <alignment horizontal="center" vertical="center" textRotation="0" wrapText="false" indent="0" shrinkToFit="false"/>
      <protection locked="true" hidden="false"/>
    </xf>
    <xf numFmtId="164" fontId="0" fillId="0" borderId="39"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true" applyAlignment="true" applyProtection="true">
      <alignment horizontal="left" vertical="center" textRotation="0" wrapText="false" indent="0" shrinkToFit="false"/>
      <protection locked="true" hidden="false"/>
    </xf>
    <xf numFmtId="165" fontId="0" fillId="0" borderId="0" xfId="0" applyFont="true" applyBorder="true" applyAlignment="true" applyProtection="true">
      <alignment horizontal="center" vertical="center" textRotation="0" wrapText="false" indent="0" shrinkToFit="false"/>
      <protection locked="true" hidden="false"/>
    </xf>
    <xf numFmtId="165" fontId="25" fillId="0" borderId="48" xfId="0" applyFont="true" applyBorder="true" applyAlignment="true" applyProtection="true">
      <alignment horizontal="center" vertical="center" textRotation="0" wrapText="false" indent="0" shrinkToFit="false"/>
      <protection locked="true" hidden="false"/>
    </xf>
    <xf numFmtId="165" fontId="0" fillId="0" borderId="48" xfId="0" applyFont="true" applyBorder="true" applyAlignment="true" applyProtection="true">
      <alignment horizontal="center" vertical="center" textRotation="0" wrapText="false" indent="0" shrinkToFit="false"/>
      <protection locked="true" hidden="false"/>
    </xf>
    <xf numFmtId="164" fontId="31" fillId="18" borderId="14" xfId="0" applyFont="true" applyBorder="true" applyAlignment="true" applyProtection="true">
      <alignment horizontal="right" vertical="center" textRotation="0" wrapText="false" indent="0" shrinkToFit="false"/>
      <protection locked="true" hidden="false"/>
    </xf>
    <xf numFmtId="164" fontId="7" fillId="10" borderId="24" xfId="0" applyFont="true" applyBorder="true" applyAlignment="true" applyProtection="true">
      <alignment horizontal="general" vertical="top" textRotation="0" wrapText="false" indent="0" shrinkToFit="false"/>
      <protection locked="false" hidden="false"/>
    </xf>
    <xf numFmtId="165" fontId="0" fillId="3" borderId="14" xfId="0" applyFont="true" applyBorder="true" applyAlignment="true" applyProtection="true">
      <alignment horizontal="right" vertical="center" textRotation="0" wrapText="false" indent="0" shrinkToFit="false"/>
      <protection locked="true" hidden="false"/>
    </xf>
    <xf numFmtId="164" fontId="7" fillId="3" borderId="20" xfId="0" applyFont="true" applyBorder="true" applyAlignment="true" applyProtection="true">
      <alignment horizontal="general" vertical="top" textRotation="0" wrapText="false" indent="0" shrinkToFit="false"/>
      <protection locked="true" hidden="false"/>
    </xf>
    <xf numFmtId="164" fontId="7" fillId="3" borderId="14" xfId="0" applyFont="true" applyBorder="true" applyAlignment="true" applyProtection="true">
      <alignment horizontal="general" vertical="top" textRotation="0" wrapText="false" indent="0" shrinkToFit="false"/>
      <protection locked="true" hidden="false"/>
    </xf>
    <xf numFmtId="164" fontId="7" fillId="0" borderId="15" xfId="0" applyFont="true" applyBorder="true" applyAlignment="true" applyProtection="true">
      <alignment horizontal="center" vertical="top" textRotation="0" wrapText="false" indent="0" shrinkToFit="false"/>
      <protection locked="true" hidden="false"/>
    </xf>
    <xf numFmtId="164" fontId="7" fillId="0" borderId="21" xfId="0" applyFont="true" applyBorder="true" applyAlignment="true" applyProtection="true">
      <alignment horizontal="center" vertical="top" textRotation="0" wrapText="false" indent="0" shrinkToFit="false"/>
      <protection locked="true" hidden="false"/>
    </xf>
    <xf numFmtId="172" fontId="7" fillId="12" borderId="30" xfId="0" applyFont="true" applyBorder="true" applyAlignment="true" applyProtection="true">
      <alignment horizontal="center" vertical="top" textRotation="0" wrapText="false" indent="0" shrinkToFit="false"/>
      <protection locked="true" hidden="false"/>
    </xf>
    <xf numFmtId="172" fontId="7" fillId="12" borderId="30" xfId="0" applyFont="true" applyBorder="true" applyAlignment="true" applyProtection="true">
      <alignment horizontal="left" vertical="top" textRotation="0" wrapText="false" indent="0" shrinkToFit="false"/>
      <protection locked="true" hidden="false"/>
    </xf>
    <xf numFmtId="165" fontId="0" fillId="0" borderId="37" xfId="0" applyFont="true" applyBorder="true" applyAlignment="true" applyProtection="true">
      <alignment horizontal="center" vertical="center" textRotation="0" wrapText="false" indent="0" shrinkToFit="false"/>
      <protection locked="true" hidden="false"/>
    </xf>
    <xf numFmtId="172" fontId="0" fillId="0" borderId="42" xfId="0" applyFont="true" applyBorder="true" applyAlignment="true" applyProtection="true">
      <alignment horizontal="center" vertical="center" textRotation="0" wrapText="false" indent="0" shrinkToFit="false"/>
      <protection locked="true" hidden="false"/>
    </xf>
    <xf numFmtId="172" fontId="7" fillId="0" borderId="14" xfId="0" applyFont="true" applyBorder="true" applyAlignment="true" applyProtection="true">
      <alignment horizontal="left" vertical="top" textRotation="0" wrapText="false" indent="0" shrinkToFit="false"/>
      <protection locked="true" hidden="false"/>
    </xf>
    <xf numFmtId="164" fontId="7" fillId="0" borderId="0" xfId="0" applyFont="true" applyBorder="true" applyAlignment="true" applyProtection="true">
      <alignment horizontal="left" vertical="top" textRotation="0" wrapText="false" indent="0" shrinkToFit="false"/>
      <protection locked="true" hidden="false"/>
    </xf>
    <xf numFmtId="172" fontId="0" fillId="0" borderId="39" xfId="0" applyFont="true" applyBorder="true" applyAlignment="true" applyProtection="true">
      <alignment horizontal="center" vertical="center" textRotation="0" wrapText="false" indent="0" shrinkToFit="false"/>
      <protection locked="true" hidden="false"/>
    </xf>
    <xf numFmtId="172" fontId="0" fillId="0" borderId="40" xfId="0" applyFont="true" applyBorder="true" applyAlignment="true" applyProtection="true">
      <alignment horizontal="center" vertical="center" textRotation="0" wrapText="false" indent="0" shrinkToFit="false"/>
      <protection locked="true" hidden="false"/>
    </xf>
    <xf numFmtId="164" fontId="31" fillId="18" borderId="15" xfId="0" applyFont="true" applyBorder="true" applyAlignment="true" applyProtection="true">
      <alignment horizontal="right" vertical="center" textRotation="0" wrapText="false" indent="0" shrinkToFit="false"/>
      <protection locked="true" hidden="false"/>
    </xf>
    <xf numFmtId="165" fontId="0" fillId="21" borderId="0" xfId="0" applyFont="true" applyBorder="true" applyAlignment="true" applyProtection="true">
      <alignment horizontal="left" vertical="center" textRotation="0" wrapText="true" indent="0" shrinkToFit="false"/>
      <protection locked="true" hidden="false"/>
    </xf>
    <xf numFmtId="165" fontId="0" fillId="21" borderId="0" xfId="0" applyFont="true" applyBorder="true" applyAlignment="true" applyProtection="true">
      <alignment horizontal="right" vertical="top" textRotation="0" wrapText="true" indent="0" shrinkToFit="false"/>
      <protection locked="true" hidden="false"/>
    </xf>
    <xf numFmtId="164" fontId="7" fillId="7" borderId="14" xfId="0" applyFont="true" applyBorder="true" applyAlignment="true" applyProtection="true">
      <alignment horizontal="center" vertical="center" textRotation="0" wrapText="false" indent="0" shrinkToFit="false"/>
      <protection locked="true" hidden="false"/>
    </xf>
    <xf numFmtId="165" fontId="31" fillId="7" borderId="0" xfId="0" applyFont="true" applyBorder="true" applyAlignment="true" applyProtection="true">
      <alignment horizontal="general" vertical="bottom" textRotation="0" wrapText="false" indent="0" shrinkToFit="false"/>
      <protection locked="true" hidden="false"/>
    </xf>
    <xf numFmtId="165" fontId="82" fillId="7" borderId="0" xfId="0" applyFont="true" applyBorder="true" applyAlignment="true" applyProtection="true">
      <alignment horizontal="general" vertical="bottom" textRotation="0" wrapText="false" indent="0" shrinkToFit="false"/>
      <protection locked="true" hidden="false"/>
    </xf>
    <xf numFmtId="165" fontId="33" fillId="7" borderId="0" xfId="0" applyFont="true" applyBorder="true" applyAlignment="true" applyProtection="true">
      <alignment horizontal="center" vertical="center" textRotation="0" wrapText="true" indent="0" shrinkToFit="false"/>
      <protection locked="true" hidden="false"/>
    </xf>
    <xf numFmtId="165" fontId="0" fillId="7" borderId="14" xfId="0" applyFont="true" applyBorder="true" applyAlignment="true" applyProtection="true">
      <alignment horizontal="left" vertical="top" textRotation="0" wrapText="true" indent="0" shrinkToFit="false"/>
      <protection locked="true" hidden="false"/>
    </xf>
    <xf numFmtId="165" fontId="49" fillId="7" borderId="0" xfId="0" applyFont="true" applyBorder="true" applyAlignment="true" applyProtection="true">
      <alignment horizontal="general" vertical="center" textRotation="0" wrapText="true" indent="0" shrinkToFit="false"/>
      <protection locked="true" hidden="false"/>
    </xf>
    <xf numFmtId="165" fontId="33" fillId="7" borderId="14" xfId="0" applyFont="true" applyBorder="true" applyAlignment="true" applyProtection="true">
      <alignment horizontal="center" vertical="center" textRotation="0" wrapText="false" indent="0" shrinkToFit="false"/>
      <protection locked="true" hidden="false"/>
    </xf>
    <xf numFmtId="165" fontId="67" fillId="7" borderId="0" xfId="0" applyFont="true" applyBorder="true" applyAlignment="true" applyProtection="true">
      <alignment horizontal="general" vertical="bottom" textRotation="0" wrapText="false" indent="0" shrinkToFit="false"/>
      <protection locked="true" hidden="false"/>
    </xf>
    <xf numFmtId="165" fontId="86" fillId="7" borderId="0" xfId="0" applyFont="true" applyBorder="true" applyAlignment="true" applyProtection="true">
      <alignment horizontal="general" vertical="bottom" textRotation="0" wrapText="false" indent="0" shrinkToFit="false"/>
      <protection locked="true" hidden="false"/>
    </xf>
    <xf numFmtId="164" fontId="17" fillId="10" borderId="20" xfId="0" applyFont="true" applyBorder="true" applyAlignment="true" applyProtection="true">
      <alignment horizontal="left" vertical="center" textRotation="0" wrapText="true" indent="0" shrinkToFit="false"/>
      <protection locked="false" hidden="false"/>
    </xf>
    <xf numFmtId="172" fontId="7" fillId="7" borderId="14" xfId="0" applyFont="true" applyBorder="true" applyAlignment="true" applyProtection="true">
      <alignment horizontal="general" vertical="top" textRotation="0" wrapText="true" indent="0" shrinkToFit="false"/>
      <protection locked="true" hidden="false"/>
    </xf>
    <xf numFmtId="173" fontId="7" fillId="13" borderId="14" xfId="0" applyFont="true" applyBorder="true" applyAlignment="true" applyProtection="true">
      <alignment horizontal="left" vertical="center" textRotation="0" wrapText="true" indent="1" shrinkToFit="false"/>
      <protection locked="false" hidden="false"/>
    </xf>
    <xf numFmtId="165" fontId="97" fillId="0" borderId="0" xfId="0" applyFont="true" applyBorder="true" applyAlignment="true" applyProtection="true">
      <alignment horizontal="general" vertical="center" textRotation="0" wrapText="false" indent="0" shrinkToFit="false"/>
      <protection locked="true" hidden="false"/>
    </xf>
    <xf numFmtId="175" fontId="7" fillId="0" borderId="24" xfId="0" applyFont="true" applyBorder="true" applyAlignment="true" applyProtection="true">
      <alignment horizontal="center" vertical="center" textRotation="0" wrapText="true" indent="0" shrinkToFit="false"/>
      <protection locked="true" hidden="false"/>
    </xf>
    <xf numFmtId="175" fontId="7" fillId="0" borderId="27" xfId="0" applyFont="true" applyBorder="true" applyAlignment="true" applyProtection="true">
      <alignment horizontal="center" vertical="center" textRotation="0" wrapText="true" indent="0" shrinkToFit="false"/>
      <protection locked="true" hidden="false"/>
    </xf>
    <xf numFmtId="173" fontId="7" fillId="14" borderId="14" xfId="0" applyFont="true" applyBorder="true" applyAlignment="true" applyProtection="true">
      <alignment horizontal="left" vertical="center" textRotation="0" wrapText="true" indent="0" shrinkToFit="false"/>
      <protection locked="true" hidden="false"/>
    </xf>
    <xf numFmtId="164" fontId="18" fillId="15" borderId="30" xfId="0" applyFont="true" applyBorder="true" applyAlignment="true" applyProtection="true">
      <alignment horizontal="right" vertical="center" textRotation="0" wrapText="true" indent="0" shrinkToFit="false"/>
      <protection locked="true" hidden="false"/>
    </xf>
    <xf numFmtId="164" fontId="0" fillId="15" borderId="23" xfId="0" applyFont="true" applyBorder="true" applyAlignment="true" applyProtection="true">
      <alignment horizontal="right" vertical="center" textRotation="0" wrapText="true" indent="0" shrinkToFit="false"/>
      <protection locked="true" hidden="false"/>
    </xf>
    <xf numFmtId="164" fontId="0" fillId="15" borderId="31" xfId="0" applyFont="true" applyBorder="true" applyAlignment="true" applyProtection="true">
      <alignment horizontal="right" vertical="center" textRotation="0" wrapText="true" indent="0" shrinkToFit="false"/>
      <protection locked="true" hidden="false"/>
    </xf>
    <xf numFmtId="165" fontId="97" fillId="0" borderId="0" xfId="0" applyFont="true" applyBorder="true" applyAlignment="true" applyProtection="true">
      <alignment horizontal="general" vertical="center" textRotation="0" wrapText="true" indent="0" shrinkToFit="false"/>
      <protection locked="true" hidden="false"/>
    </xf>
    <xf numFmtId="174" fontId="0" fillId="13" borderId="12" xfId="0" applyFont="true" applyBorder="true" applyAlignment="true" applyProtection="true">
      <alignment horizontal="left" vertical="center" textRotation="0" wrapText="true" indent="1" shrinkToFit="false"/>
      <protection locked="false" hidden="false"/>
    </xf>
    <xf numFmtId="179" fontId="7" fillId="13" borderId="14" xfId="0" applyFont="true" applyBorder="true" applyAlignment="true" applyProtection="true">
      <alignment horizontal="left" vertical="center" textRotation="0" wrapText="true" indent="1" shrinkToFit="false"/>
      <protection locked="false" hidden="false"/>
    </xf>
    <xf numFmtId="174" fontId="33" fillId="0" borderId="0" xfId="0" applyFont="true" applyBorder="true" applyAlignment="true" applyProtection="true">
      <alignment horizontal="center" vertical="center" textRotation="0" wrapText="true" indent="0" shrinkToFit="false"/>
      <protection locked="true" hidden="false"/>
    </xf>
    <xf numFmtId="175" fontId="7" fillId="0" borderId="20" xfId="0" applyFont="true" applyBorder="true" applyAlignment="true" applyProtection="true">
      <alignment horizontal="center" vertical="center" textRotation="0" wrapText="true" indent="0" shrinkToFit="false"/>
      <protection locked="true" hidden="false"/>
    </xf>
    <xf numFmtId="172" fontId="7" fillId="12" borderId="20" xfId="0" applyFont="true" applyBorder="true" applyAlignment="true" applyProtection="true">
      <alignment horizontal="left" vertical="center" textRotation="0" wrapText="true" indent="1" shrinkToFit="false"/>
      <protection locked="true" hidden="false"/>
    </xf>
    <xf numFmtId="173" fontId="7" fillId="13" borderId="20" xfId="0" applyFont="true" applyBorder="true" applyAlignment="true" applyProtection="true">
      <alignment horizontal="left" vertical="center" textRotation="0" wrapText="true" indent="1" shrinkToFit="false"/>
      <protection locked="false" hidden="false"/>
    </xf>
    <xf numFmtId="172" fontId="7" fillId="0" borderId="21" xfId="0" applyFont="true" applyBorder="true" applyAlignment="true" applyProtection="true">
      <alignment horizontal="left" vertical="top" textRotation="0" wrapText="true" indent="0" shrinkToFit="false"/>
      <protection locked="true" hidden="false"/>
    </xf>
    <xf numFmtId="172" fontId="7" fillId="0" borderId="20" xfId="0" applyFont="true" applyBorder="true" applyAlignment="true" applyProtection="true">
      <alignment horizontal="left" vertical="center" textRotation="0" wrapText="true" indent="1" shrinkToFit="false"/>
      <protection locked="true" hidden="false"/>
    </xf>
    <xf numFmtId="173" fontId="7" fillId="0" borderId="20" xfId="0" applyFont="true" applyBorder="true" applyAlignment="true" applyProtection="true">
      <alignment horizontal="left" vertical="center" textRotation="0" wrapText="true" indent="1" shrinkToFit="false"/>
      <protection locked="true" hidden="false"/>
    </xf>
    <xf numFmtId="164" fontId="17" fillId="15" borderId="23" xfId="0" applyFont="true" applyBorder="true" applyAlignment="true" applyProtection="true">
      <alignment horizontal="left" vertical="center" textRotation="0" wrapText="true" indent="0" shrinkToFit="false"/>
      <protection locked="true" hidden="false"/>
    </xf>
    <xf numFmtId="164" fontId="17" fillId="15" borderId="31" xfId="0" applyFont="true" applyBorder="true" applyAlignment="true" applyProtection="true">
      <alignment horizontal="left" vertical="center" textRotation="0" wrapText="true" indent="0" shrinkToFit="false"/>
      <protection locked="true" hidden="false"/>
    </xf>
    <xf numFmtId="165" fontId="7" fillId="7" borderId="32" xfId="0" applyFont="true" applyBorder="true" applyAlignment="true" applyProtection="true">
      <alignment horizontal="general" vertical="center" textRotation="0" wrapText="true" indent="0" shrinkToFit="false"/>
      <protection locked="true" hidden="false"/>
    </xf>
    <xf numFmtId="165" fontId="33" fillId="0" borderId="23" xfId="0" applyFont="true" applyBorder="true" applyAlignment="true" applyProtection="true">
      <alignment horizontal="center" vertical="center" textRotation="0" wrapText="true" indent="0" shrinkToFit="false"/>
      <protection locked="true" hidden="false"/>
    </xf>
    <xf numFmtId="165" fontId="7" fillId="7" borderId="18" xfId="0" applyFont="true" applyBorder="true" applyAlignment="true" applyProtection="true">
      <alignment horizontal="general" vertical="center" textRotation="0" wrapText="true" indent="0" shrinkToFit="false"/>
      <protection locked="true" hidden="false"/>
    </xf>
    <xf numFmtId="165" fontId="53" fillId="0" borderId="14" xfId="63" applyFont="true" applyBorder="true" applyAlignment="true" applyProtection="true">
      <alignment horizontal="center" vertical="center" textRotation="0" wrapText="true" indent="0" shrinkToFit="false"/>
      <protection locked="true" hidden="false"/>
    </xf>
    <xf numFmtId="172" fontId="7" fillId="0" borderId="12" xfId="0" applyFont="true" applyBorder="true" applyAlignment="true" applyProtection="true">
      <alignment horizontal="left" vertical="center" textRotation="0" wrapText="true" indent="0" shrinkToFit="false"/>
      <protection locked="true" hidden="false"/>
    </xf>
    <xf numFmtId="175" fontId="57" fillId="0" borderId="16" xfId="0" applyFont="true" applyBorder="true" applyAlignment="true" applyProtection="true">
      <alignment horizontal="center" vertical="center" textRotation="0" wrapText="true" indent="0" shrinkToFit="false"/>
      <protection locked="true" hidden="false"/>
    </xf>
    <xf numFmtId="175" fontId="57" fillId="0" borderId="17" xfId="0" applyFont="true" applyBorder="true" applyAlignment="true" applyProtection="true">
      <alignment horizontal="center" vertical="center" textRotation="0" wrapText="true" indent="0" shrinkToFit="false"/>
      <protection locked="true" hidden="false"/>
    </xf>
    <xf numFmtId="165" fontId="52" fillId="0" borderId="0" xfId="0" applyFont="true" applyBorder="true" applyAlignment="true" applyProtection="true">
      <alignment horizontal="center" vertical="center" textRotation="0" wrapText="true" indent="0" shrinkToFit="false"/>
      <protection locked="true" hidden="false"/>
    </xf>
    <xf numFmtId="172" fontId="7" fillId="12" borderId="31" xfId="0" applyFont="true" applyBorder="true" applyAlignment="true" applyProtection="true">
      <alignment horizontal="left" vertical="center" textRotation="0" wrapText="true" indent="0" shrinkToFit="false"/>
      <protection locked="true" hidden="false"/>
    </xf>
    <xf numFmtId="164" fontId="7" fillId="14" borderId="30" xfId="0" applyFont="true" applyBorder="true" applyAlignment="true" applyProtection="true">
      <alignment horizontal="left" vertical="center" textRotation="0" wrapText="true" indent="0" shrinkToFit="false"/>
      <protection locked="true" hidden="false"/>
    </xf>
    <xf numFmtId="164" fontId="7" fillId="13" borderId="23" xfId="0" applyFont="true" applyBorder="true" applyAlignment="true" applyProtection="true">
      <alignment horizontal="left" vertical="center" textRotation="0" wrapText="true" indent="0" shrinkToFit="false"/>
      <protection locked="false" hidden="false"/>
    </xf>
    <xf numFmtId="164" fontId="7" fillId="13" borderId="30" xfId="0" applyFont="true" applyBorder="true" applyAlignment="true" applyProtection="true">
      <alignment horizontal="left" vertical="center" textRotation="0" wrapText="true" indent="0" shrinkToFit="false"/>
      <protection locked="false" hidden="false"/>
    </xf>
    <xf numFmtId="164" fontId="7" fillId="0" borderId="14" xfId="0" applyFont="true" applyBorder="true" applyAlignment="true" applyProtection="true">
      <alignment horizontal="left" vertical="top" textRotation="0" wrapText="true" indent="0" shrinkToFit="false"/>
      <protection locked="true" hidden="false"/>
    </xf>
    <xf numFmtId="164" fontId="47" fillId="0" borderId="0" xfId="0" applyFont="true" applyBorder="true" applyAlignment="true" applyProtection="true">
      <alignment horizontal="center" vertical="center" textRotation="0" wrapText="false" indent="0" shrinkToFit="false"/>
      <protection locked="true" hidden="false"/>
    </xf>
    <xf numFmtId="165" fontId="38" fillId="7" borderId="0" xfId="0" applyFont="true" applyBorder="true" applyAlignment="true" applyProtection="true">
      <alignment horizontal="center" vertical="center" textRotation="0" wrapText="true" indent="0" shrinkToFit="false"/>
      <protection locked="true" hidden="false"/>
    </xf>
    <xf numFmtId="165" fontId="33" fillId="0" borderId="0" xfId="0" applyFont="true" applyBorder="true" applyAlignment="true" applyProtection="true">
      <alignment horizontal="general" vertical="top" textRotation="0" wrapText="false" indent="0" shrinkToFit="false"/>
      <protection locked="true" hidden="false"/>
    </xf>
    <xf numFmtId="164" fontId="92" fillId="0" borderId="0" xfId="0" applyFont="true" applyBorder="true" applyAlignment="true" applyProtection="true">
      <alignment horizontal="left" vertical="top" textRotation="0" wrapText="true" indent="0" shrinkToFit="false"/>
      <protection locked="true" hidden="false"/>
    </xf>
    <xf numFmtId="165" fontId="7" fillId="0" borderId="0" xfId="0" applyFont="true" applyBorder="true" applyAlignment="true" applyProtection="true">
      <alignment horizontal="general" vertical="bottom" textRotation="0" wrapText="false" indent="0" shrinkToFit="false"/>
      <protection locked="true" hidden="false"/>
    </xf>
    <xf numFmtId="165" fontId="47" fillId="0" borderId="0" xfId="0" applyFont="true" applyBorder="true" applyAlignment="true" applyProtection="true">
      <alignment horizontal="center" vertical="center" textRotation="0" wrapText="false" indent="0" shrinkToFit="false"/>
      <protection locked="true" hidden="false"/>
    </xf>
    <xf numFmtId="165" fontId="47" fillId="7" borderId="0" xfId="0" applyFont="true" applyBorder="true" applyAlignment="true" applyProtection="true">
      <alignment horizontal="center" vertical="center" textRotation="0" wrapText="false" indent="0" shrinkToFit="false"/>
      <protection locked="true" hidden="false"/>
    </xf>
    <xf numFmtId="165" fontId="7" fillId="0" borderId="12" xfId="0" applyFont="true" applyBorder="true" applyAlignment="true" applyProtection="true">
      <alignment horizontal="left" vertical="center" textRotation="0" wrapText="true" indent="1" shrinkToFit="false"/>
      <protection locked="true" hidden="false"/>
    </xf>
    <xf numFmtId="165" fontId="66" fillId="0" borderId="0" xfId="0" applyFont="true" applyBorder="true" applyAlignment="true" applyProtection="true">
      <alignment horizontal="general" vertical="bottom" textRotation="0" wrapText="false" indent="0" shrinkToFit="false"/>
      <protection locked="true" hidden="false"/>
    </xf>
    <xf numFmtId="165" fontId="7" fillId="7" borderId="27" xfId="0" applyFont="true" applyBorder="true" applyAlignment="true" applyProtection="true">
      <alignment horizontal="center" vertical="center" textRotation="0" wrapText="false" indent="0" shrinkToFit="false"/>
      <protection locked="true" hidden="false"/>
    </xf>
    <xf numFmtId="164" fontId="7" fillId="0" borderId="27" xfId="0" applyFont="true" applyBorder="true" applyAlignment="true" applyProtection="true">
      <alignment horizontal="left" vertical="center" textRotation="0" wrapText="true" indent="0" shrinkToFit="false"/>
      <protection locked="true" hidden="false"/>
    </xf>
    <xf numFmtId="164" fontId="56" fillId="15" borderId="21" xfId="0" applyFont="true" applyBorder="true" applyAlignment="true" applyProtection="true">
      <alignment horizontal="left" vertical="center" textRotation="0" wrapText="false" indent="0" shrinkToFit="false"/>
      <protection locked="true" hidden="false"/>
    </xf>
    <xf numFmtId="164" fontId="57" fillId="0" borderId="0" xfId="0" applyFont="true" applyBorder="true" applyAlignment="true" applyProtection="true">
      <alignment horizontal="right" vertical="top" textRotation="0" wrapText="false" indent="0" shrinkToFit="false"/>
      <protection locked="true" hidden="false"/>
    </xf>
    <xf numFmtId="164" fontId="7" fillId="0" borderId="0" xfId="0" applyFont="true" applyBorder="true" applyAlignment="true" applyProtection="true">
      <alignment horizontal="left" vertical="top" textRotation="0" wrapText="true" indent="0" shrinkToFit="false"/>
      <protection locked="true" hidden="false"/>
    </xf>
    <xf numFmtId="164" fontId="0" fillId="0" borderId="12" xfId="0" applyFont="true" applyBorder="true" applyAlignment="true" applyProtection="true">
      <alignment horizontal="left" vertical="center" textRotation="0" wrapText="false" indent="1" shrinkToFit="false"/>
      <protection locked="true" hidden="false"/>
    </xf>
    <xf numFmtId="164" fontId="73" fillId="0" borderId="0" xfId="0" applyFont="true" applyBorder="true" applyAlignment="true" applyProtection="true">
      <alignment horizontal="general" vertical="top" textRotation="0" wrapText="false" indent="0" shrinkToFit="false"/>
      <protection locked="true" hidden="false"/>
    </xf>
    <xf numFmtId="164" fontId="0" fillId="0" borderId="49" xfId="0" applyFont="true" applyBorder="true" applyAlignment="true" applyProtection="true">
      <alignment horizontal="center" vertical="center" textRotation="0" wrapText="false" indent="0" shrinkToFit="false"/>
      <protection locked="true" hidden="false"/>
    </xf>
    <xf numFmtId="164" fontId="0" fillId="23" borderId="0" xfId="0" applyFont="true" applyBorder="true" applyAlignment="true" applyProtection="true">
      <alignment horizontal="general" vertical="top" textRotation="0" wrapText="false" indent="0" shrinkToFit="false"/>
      <protection locked="true" hidden="false"/>
    </xf>
    <xf numFmtId="165" fontId="47" fillId="7" borderId="0" xfId="0" applyFont="true" applyBorder="true" applyAlignment="true" applyProtection="true">
      <alignment horizontal="center" vertical="bottom" textRotation="0" wrapText="false" indent="0" shrinkToFit="false"/>
      <protection locked="true" hidden="false"/>
    </xf>
    <xf numFmtId="173" fontId="7" fillId="14" borderId="14" xfId="0" applyFont="true" applyBorder="true" applyAlignment="true" applyProtection="true">
      <alignment horizontal="left" vertical="center" textRotation="0" wrapText="true" indent="1" shrinkToFit="false"/>
      <protection locked="true" hidden="false"/>
    </xf>
    <xf numFmtId="164" fontId="7" fillId="12" borderId="14" xfId="0" applyFont="true" applyBorder="true" applyAlignment="true" applyProtection="true">
      <alignment horizontal="center" vertical="center" textRotation="0" wrapText="true" indent="0" shrinkToFit="false"/>
      <protection locked="true" hidden="false"/>
    </xf>
    <xf numFmtId="164" fontId="74" fillId="23" borderId="0" xfId="0" applyFont="true" applyBorder="true" applyAlignment="true" applyProtection="true">
      <alignment horizontal="general" vertical="top" textRotation="0" wrapText="false" indent="0" shrinkToFit="false"/>
      <protection locked="true" hidden="false"/>
    </xf>
    <xf numFmtId="164" fontId="74" fillId="0" borderId="0" xfId="0" applyFont="true" applyBorder="true" applyAlignment="true" applyProtection="true">
      <alignment horizontal="general" vertical="top" textRotation="0" wrapText="false" indent="0" shrinkToFit="false"/>
      <protection locked="true" hidden="false"/>
    </xf>
    <xf numFmtId="173" fontId="65" fillId="0" borderId="27" xfId="0" applyFont="true" applyBorder="true" applyAlignment="true" applyProtection="true">
      <alignment horizontal="center" vertical="center" textRotation="0" wrapText="true" indent="0" shrinkToFit="false"/>
      <protection locked="true" hidden="false"/>
    </xf>
    <xf numFmtId="165" fontId="65" fillId="0" borderId="27" xfId="0" applyFont="true" applyBorder="true" applyAlignment="true" applyProtection="true">
      <alignment horizontal="center" vertical="center" textRotation="0" wrapText="true" indent="0" shrinkToFit="false"/>
      <protection locked="true" hidden="false"/>
    </xf>
    <xf numFmtId="165" fontId="55" fillId="0" borderId="0" xfId="0" applyFont="true" applyBorder="true" applyAlignment="true" applyProtection="true">
      <alignment horizontal="general" vertical="center" textRotation="0" wrapText="false" indent="0" shrinkToFit="false"/>
      <protection locked="true" hidden="false"/>
    </xf>
    <xf numFmtId="164" fontId="0" fillId="0" borderId="14" xfId="0" applyFont="true" applyBorder="true" applyAlignment="true" applyProtection="true">
      <alignment horizontal="general" vertical="top" textRotation="0" wrapText="false" indent="0" shrinkToFit="false"/>
      <protection locked="true" hidden="false"/>
    </xf>
    <xf numFmtId="165" fontId="53" fillId="0" borderId="14" xfId="0" applyFont="true" applyBorder="true" applyAlignment="true" applyProtection="true">
      <alignment horizontal="center" vertical="center" textRotation="0" wrapText="true" indent="0" shrinkToFit="false"/>
      <protection locked="true" hidden="false"/>
    </xf>
    <xf numFmtId="172" fontId="7" fillId="14" borderId="14" xfId="0" applyFont="true" applyBorder="true" applyAlignment="true" applyProtection="true">
      <alignment horizontal="left" vertical="center" textRotation="0" wrapText="true" indent="1" shrinkToFit="false"/>
      <protection locked="true" hidden="false"/>
    </xf>
    <xf numFmtId="164" fontId="7" fillId="0" borderId="21" xfId="0" applyFont="true" applyBorder="true" applyAlignment="true" applyProtection="true">
      <alignment horizontal="center" vertical="center" textRotation="0" wrapText="true" indent="0" shrinkToFit="false"/>
      <protection locked="true" hidden="false"/>
    </xf>
    <xf numFmtId="165" fontId="7" fillId="7" borderId="0" xfId="0" applyFont="true" applyBorder="true" applyAlignment="true" applyProtection="true">
      <alignment horizontal="center" vertical="top" textRotation="0" wrapText="true" indent="0" shrinkToFit="false"/>
      <protection locked="true" hidden="false"/>
    </xf>
    <xf numFmtId="165" fontId="33" fillId="7" borderId="14" xfId="0" applyFont="true" applyBorder="true" applyAlignment="true" applyProtection="true">
      <alignment horizontal="center" vertical="center" textRotation="0" wrapText="true" indent="0" shrinkToFit="false"/>
      <protection locked="true" hidden="false"/>
    </xf>
    <xf numFmtId="173" fontId="7" fillId="14" borderId="31" xfId="0" applyFont="true" applyBorder="true" applyAlignment="true" applyProtection="true">
      <alignment horizontal="left" vertical="center" textRotation="0" wrapText="true" indent="0" shrinkToFit="false"/>
      <protection locked="true" hidden="false"/>
    </xf>
    <xf numFmtId="164" fontId="98" fillId="13" borderId="14" xfId="0" applyFont="true" applyBorder="true" applyAlignment="true" applyProtection="true">
      <alignment horizontal="left" vertical="center" textRotation="0" wrapText="true" indent="0" shrinkToFit="false"/>
      <protection locked="false" hidden="false"/>
    </xf>
    <xf numFmtId="164" fontId="0" fillId="13" borderId="14" xfId="0" applyFont="true" applyBorder="true" applyAlignment="true" applyProtection="true">
      <alignment horizontal="center" vertical="center" textRotation="0" wrapText="true" indent="0" shrinkToFit="false"/>
      <protection locked="false" hidden="false"/>
    </xf>
    <xf numFmtId="165" fontId="0" fillId="13" borderId="15" xfId="0" applyFont="true" applyBorder="true" applyAlignment="true" applyProtection="true">
      <alignment horizontal="left" vertical="center" textRotation="0" wrapText="true" indent="2" shrinkToFit="false"/>
      <protection locked="false" hidden="false"/>
    </xf>
    <xf numFmtId="165" fontId="47" fillId="0" borderId="19" xfId="0" applyFont="true" applyBorder="true" applyAlignment="true" applyProtection="true">
      <alignment horizontal="center" vertical="center" textRotation="0" wrapText="true" indent="0" shrinkToFit="false"/>
      <protection locked="true" hidden="false"/>
    </xf>
    <xf numFmtId="164" fontId="7" fillId="0" borderId="14" xfId="0" applyFont="true" applyBorder="true" applyAlignment="true" applyProtection="true">
      <alignment horizontal="center" vertical="top" textRotation="0" wrapText="true" indent="0" shrinkToFit="false"/>
      <protection locked="true" hidden="false"/>
    </xf>
    <xf numFmtId="165" fontId="0" fillId="12" borderId="14" xfId="0" applyFont="true" applyBorder="true" applyAlignment="true" applyProtection="true">
      <alignment horizontal="left" vertical="top" textRotation="0" wrapText="true" indent="1" shrinkToFit="false"/>
      <protection locked="true" hidden="false"/>
    </xf>
    <xf numFmtId="164" fontId="7" fillId="14" borderId="14" xfId="0" applyFont="true" applyBorder="true" applyAlignment="true" applyProtection="true">
      <alignment horizontal="center" vertical="top" textRotation="0" wrapText="true" indent="0" shrinkToFit="false"/>
      <protection locked="true" hidden="false"/>
    </xf>
    <xf numFmtId="174" fontId="0" fillId="13" borderId="14" xfId="0" applyFont="true" applyBorder="true" applyAlignment="true" applyProtection="true">
      <alignment horizontal="center" vertical="top" textRotation="0" wrapText="true" indent="0" shrinkToFit="false"/>
      <protection locked="false" hidden="false"/>
    </xf>
    <xf numFmtId="174" fontId="0" fillId="10" borderId="14" xfId="0" applyFont="true" applyBorder="true" applyAlignment="true" applyProtection="true">
      <alignment horizontal="center" vertical="top" textRotation="0" wrapText="true" indent="0" shrinkToFit="false"/>
      <protection locked="false" hidden="false"/>
    </xf>
    <xf numFmtId="164" fontId="7" fillId="14" borderId="14" xfId="0" applyFont="true" applyBorder="true" applyAlignment="true" applyProtection="true">
      <alignment horizontal="left" vertical="top" textRotation="0" wrapText="true" indent="0" shrinkToFit="false"/>
      <protection locked="true" hidden="false"/>
    </xf>
    <xf numFmtId="164" fontId="7" fillId="13" borderId="14" xfId="0" applyFont="true" applyBorder="true" applyAlignment="true" applyProtection="true">
      <alignment horizontal="left" vertical="top" textRotation="0" wrapText="true" indent="0" shrinkToFit="false"/>
      <protection locked="false" hidden="false"/>
    </xf>
    <xf numFmtId="164" fontId="0" fillId="12" borderId="14" xfId="0" applyFont="true" applyBorder="true" applyAlignment="true" applyProtection="true">
      <alignment horizontal="center" vertical="top" textRotation="0" wrapText="true" indent="0" shrinkToFit="false"/>
      <protection locked="true" hidden="false"/>
    </xf>
    <xf numFmtId="172" fontId="7" fillId="12" borderId="14" xfId="0" applyFont="true" applyBorder="true" applyAlignment="true" applyProtection="true">
      <alignment horizontal="center" vertical="top" textRotation="0" wrapText="true" indent="0" shrinkToFit="false"/>
      <protection locked="true" hidden="false"/>
    </xf>
    <xf numFmtId="165" fontId="7" fillId="10" borderId="14" xfId="0" applyFont="true" applyBorder="true" applyAlignment="true" applyProtection="true">
      <alignment horizontal="left" vertical="top" textRotation="0" wrapText="true" indent="0" shrinkToFit="false"/>
      <protection locked="false" hidden="false"/>
    </xf>
    <xf numFmtId="164" fontId="7" fillId="13" borderId="27" xfId="0" applyFont="true" applyBorder="true" applyAlignment="true" applyProtection="true">
      <alignment horizontal="left" vertical="center" textRotation="0" wrapText="true" indent="1" shrinkToFit="false"/>
      <protection locked="false" hidden="false"/>
    </xf>
    <xf numFmtId="165" fontId="7" fillId="0" borderId="19" xfId="0" applyFont="true" applyBorder="true" applyAlignment="true" applyProtection="true">
      <alignment horizontal="general" vertical="top" textRotation="0" wrapText="true" indent="0" shrinkToFit="false"/>
      <protection locked="true" hidden="false"/>
    </xf>
    <xf numFmtId="164" fontId="7" fillId="0" borderId="32" xfId="0" applyFont="true" applyBorder="true" applyAlignment="true" applyProtection="true">
      <alignment horizontal="center" vertical="top" textRotation="0" wrapText="true" indent="0" shrinkToFit="false"/>
      <protection locked="true" hidden="false"/>
    </xf>
    <xf numFmtId="165" fontId="0" fillId="12" borderId="32" xfId="0" applyFont="true" applyBorder="true" applyAlignment="true" applyProtection="true">
      <alignment horizontal="left" vertical="top" textRotation="0" wrapText="true" indent="1" shrinkToFit="false"/>
      <protection locked="true" hidden="false"/>
    </xf>
    <xf numFmtId="164" fontId="7" fillId="14" borderId="32" xfId="0" applyFont="true" applyBorder="true" applyAlignment="true" applyProtection="true">
      <alignment horizontal="center" vertical="top" textRotation="0" wrapText="true" indent="0" shrinkToFit="false"/>
      <protection locked="true" hidden="false"/>
    </xf>
    <xf numFmtId="164" fontId="0" fillId="13" borderId="32" xfId="0" applyFont="true" applyBorder="true" applyAlignment="true" applyProtection="true">
      <alignment horizontal="center" vertical="top" textRotation="0" wrapText="true" indent="0" shrinkToFit="false"/>
      <protection locked="false" hidden="false"/>
    </xf>
    <xf numFmtId="164" fontId="0" fillId="10" borderId="32" xfId="0" applyFont="true" applyBorder="true" applyAlignment="true" applyProtection="true">
      <alignment horizontal="center" vertical="top" textRotation="0" wrapText="true" indent="0" shrinkToFit="false"/>
      <protection locked="false" hidden="false"/>
    </xf>
    <xf numFmtId="164" fontId="7" fillId="14" borderId="32" xfId="0" applyFont="true" applyBorder="true" applyAlignment="true" applyProtection="true">
      <alignment horizontal="left" vertical="top" textRotation="0" wrapText="true" indent="0" shrinkToFit="false"/>
      <protection locked="true" hidden="false"/>
    </xf>
    <xf numFmtId="164" fontId="7" fillId="13" borderId="32" xfId="0" applyFont="true" applyBorder="true" applyAlignment="true" applyProtection="true">
      <alignment horizontal="left" vertical="top" textRotation="0" wrapText="true" indent="0" shrinkToFit="false"/>
      <protection locked="false" hidden="false"/>
    </xf>
    <xf numFmtId="164" fontId="0" fillId="12" borderId="32" xfId="0" applyFont="true" applyBorder="true" applyAlignment="true" applyProtection="true">
      <alignment horizontal="center" vertical="top" textRotation="0" wrapText="true" indent="0" shrinkToFit="false"/>
      <protection locked="true" hidden="false"/>
    </xf>
    <xf numFmtId="165" fontId="7" fillId="12" borderId="32" xfId="0" applyFont="true" applyBorder="true" applyAlignment="true" applyProtection="true">
      <alignment horizontal="center" vertical="top" textRotation="0" wrapText="true" indent="0" shrinkToFit="false"/>
      <protection locked="true" hidden="false"/>
    </xf>
    <xf numFmtId="165" fontId="7" fillId="10" borderId="32" xfId="0" applyFont="true" applyBorder="true" applyAlignment="true" applyProtection="true">
      <alignment horizontal="left" vertical="top" textRotation="0" wrapText="true" indent="0" shrinkToFit="false"/>
      <protection locked="false" hidden="false"/>
    </xf>
    <xf numFmtId="172" fontId="99" fillId="0" borderId="50" xfId="0" applyFont="true" applyBorder="true" applyAlignment="true" applyProtection="true">
      <alignment horizontal="left" vertical="center" textRotation="0" wrapText="false" indent="1" shrinkToFit="false"/>
      <protection locked="true" hidden="false"/>
    </xf>
    <xf numFmtId="165" fontId="99" fillId="0" borderId="51" xfId="0" applyFont="true" applyBorder="true" applyAlignment="true" applyProtection="true">
      <alignment horizontal="left" vertical="center" textRotation="0" wrapText="false" indent="1" shrinkToFit="false"/>
      <protection locked="true" hidden="false"/>
    </xf>
    <xf numFmtId="165" fontId="0" fillId="0" borderId="51" xfId="0" applyFont="true" applyBorder="true" applyAlignment="true" applyProtection="true">
      <alignment horizontal="left" vertical="center" textRotation="0" wrapText="true" indent="0" shrinkToFit="false"/>
      <protection locked="true" hidden="false"/>
    </xf>
    <xf numFmtId="165" fontId="7" fillId="0" borderId="51" xfId="0" applyFont="true" applyBorder="true" applyAlignment="true" applyProtection="true">
      <alignment horizontal="general" vertical="center" textRotation="0" wrapText="true" indent="0" shrinkToFit="false"/>
      <protection locked="true" hidden="false"/>
    </xf>
    <xf numFmtId="165" fontId="7" fillId="0" borderId="52" xfId="0" applyFont="true" applyBorder="true" applyAlignment="true" applyProtection="true">
      <alignment horizontal="general" vertical="center" textRotation="0" wrapText="true" indent="0" shrinkToFit="false"/>
      <protection locked="true" hidden="false"/>
    </xf>
    <xf numFmtId="165" fontId="7" fillId="0" borderId="53" xfId="0" applyFont="true" applyBorder="true" applyAlignment="true" applyProtection="true">
      <alignment horizontal="general" vertical="center" textRotation="0" wrapText="true" indent="0" shrinkToFit="false"/>
      <protection locked="true" hidden="false"/>
    </xf>
    <xf numFmtId="164" fontId="7" fillId="12" borderId="54" xfId="0" applyFont="true" applyBorder="true" applyAlignment="true" applyProtection="true">
      <alignment horizontal="center" vertical="center" textRotation="0" wrapText="true" indent="0" shrinkToFit="false"/>
      <protection locked="true" hidden="false"/>
    </xf>
    <xf numFmtId="164" fontId="7" fillId="14" borderId="21" xfId="0" applyFont="true" applyBorder="true" applyAlignment="true" applyProtection="true">
      <alignment horizontal="left" vertical="center" textRotation="0" wrapText="true" indent="0" shrinkToFit="false"/>
      <protection locked="true" hidden="false"/>
    </xf>
    <xf numFmtId="164" fontId="7" fillId="14" borderId="15" xfId="0" applyFont="true" applyBorder="true" applyAlignment="true" applyProtection="true">
      <alignment horizontal="center" vertical="center" textRotation="0" wrapText="true" indent="0" shrinkToFit="false"/>
      <protection locked="true" hidden="false"/>
    </xf>
    <xf numFmtId="164" fontId="100" fillId="15" borderId="29" xfId="0" applyFont="true" applyBorder="true" applyAlignment="true" applyProtection="true">
      <alignment horizontal="left" vertical="center" textRotation="0" wrapText="false" indent="1" shrinkToFit="false"/>
      <protection locked="true" hidden="false"/>
    </xf>
    <xf numFmtId="164" fontId="58" fillId="15" borderId="29" xfId="0" applyFont="true" applyBorder="true" applyAlignment="true" applyProtection="true">
      <alignment horizontal="center" vertical="center" textRotation="0" wrapText="false" indent="0" shrinkToFit="false"/>
      <protection locked="true" hidden="false"/>
    </xf>
    <xf numFmtId="176" fontId="7" fillId="13" borderId="14" xfId="0" applyFont="true" applyBorder="true" applyAlignment="true" applyProtection="true">
      <alignment horizontal="center" vertical="center" textRotation="0" wrapText="true" indent="0" shrinkToFit="false"/>
      <protection locked="false" hidden="false"/>
    </xf>
    <xf numFmtId="164" fontId="101" fillId="0" borderId="21" xfId="0" applyFont="true" applyBorder="true" applyAlignment="true" applyProtection="true">
      <alignment horizontal="center" vertical="center" textRotation="0" wrapText="true" indent="0" shrinkToFit="false"/>
      <protection locked="true" hidden="false"/>
    </xf>
    <xf numFmtId="165" fontId="57" fillId="0" borderId="14" xfId="0" applyFont="true" applyBorder="true" applyAlignment="true" applyProtection="true">
      <alignment horizontal="center" vertical="center" textRotation="0" wrapText="false" indent="0" shrinkToFit="false"/>
      <protection locked="true" hidden="false"/>
    </xf>
    <xf numFmtId="164" fontId="100" fillId="15" borderId="15" xfId="0" applyFont="true" applyBorder="true" applyAlignment="true" applyProtection="true">
      <alignment horizontal="left" vertical="center" textRotation="0" wrapText="false" indent="1" shrinkToFit="false"/>
      <protection locked="true" hidden="false"/>
    </xf>
    <xf numFmtId="164" fontId="100" fillId="15" borderId="12" xfId="0" applyFont="true" applyBorder="true" applyAlignment="true" applyProtection="true">
      <alignment horizontal="left" vertical="center" textRotation="0" wrapText="false" indent="1" shrinkToFit="false"/>
      <protection locked="true" hidden="false"/>
    </xf>
    <xf numFmtId="164" fontId="57" fillId="15" borderId="12" xfId="0" applyFont="true" applyBorder="true" applyAlignment="true" applyProtection="true">
      <alignment horizontal="general" vertical="top" textRotation="0" wrapText="true" indent="0" shrinkToFit="false"/>
      <protection locked="true" hidden="false"/>
    </xf>
    <xf numFmtId="164" fontId="57" fillId="15" borderId="21" xfId="0" applyFont="true" applyBorder="true" applyAlignment="true" applyProtection="true">
      <alignment horizontal="general" vertical="top" textRotation="0" wrapText="true" indent="0" shrinkToFit="false"/>
      <protection locked="true" hidden="false"/>
    </xf>
    <xf numFmtId="164" fontId="101" fillId="0" borderId="0" xfId="0" applyFont="true" applyBorder="true" applyAlignment="true" applyProtection="true">
      <alignment horizontal="center" vertical="top" textRotation="0" wrapText="true" indent="0" shrinkToFit="false"/>
      <protection locked="true" hidden="false"/>
    </xf>
    <xf numFmtId="165" fontId="57" fillId="14" borderId="14" xfId="0" applyFont="true" applyBorder="true" applyAlignment="true" applyProtection="true">
      <alignment horizontal="left" vertical="center" textRotation="0" wrapText="true" indent="1" shrinkToFit="false"/>
      <protection locked="true" hidden="false"/>
    </xf>
    <xf numFmtId="164" fontId="57" fillId="15" borderId="55" xfId="0" applyFont="true" applyBorder="true" applyAlignment="true" applyProtection="true">
      <alignment horizontal="general" vertical="top" textRotation="0" wrapText="true" indent="0" shrinkToFit="false"/>
      <protection locked="true" hidden="false"/>
    </xf>
    <xf numFmtId="164" fontId="100" fillId="15" borderId="55" xfId="0" applyFont="true" applyBorder="true" applyAlignment="true" applyProtection="true">
      <alignment horizontal="left" vertical="center" textRotation="0" wrapText="false" indent="1" shrinkToFit="false"/>
      <protection locked="true" hidden="false"/>
    </xf>
    <xf numFmtId="165" fontId="0" fillId="15" borderId="56" xfId="0" applyFont="true" applyBorder="true" applyAlignment="true" applyProtection="true">
      <alignment horizontal="left" vertical="center" textRotation="0" wrapText="false" indent="0" shrinkToFit="false"/>
      <protection locked="true" hidden="false"/>
    </xf>
    <xf numFmtId="164" fontId="56" fillId="15" borderId="57" xfId="0" applyFont="true" applyBorder="true" applyAlignment="true" applyProtection="true">
      <alignment horizontal="left" vertical="center" textRotation="0" wrapText="false" indent="1" shrinkToFit="false"/>
      <protection locked="true" hidden="false"/>
    </xf>
    <xf numFmtId="165" fontId="7" fillId="15" borderId="56" xfId="0" applyFont="true" applyBorder="true" applyAlignment="true" applyProtection="true">
      <alignment horizontal="general" vertical="center" textRotation="0" wrapText="true" indent="0" shrinkToFit="false"/>
      <protection locked="true" hidden="false"/>
    </xf>
    <xf numFmtId="165" fontId="7" fillId="15" borderId="57" xfId="0" applyFont="true" applyBorder="true" applyAlignment="true" applyProtection="true">
      <alignment horizontal="general" vertical="center" textRotation="0" wrapText="true" indent="0" shrinkToFit="false"/>
      <protection locked="true" hidden="false"/>
    </xf>
    <xf numFmtId="165" fontId="7" fillId="15" borderId="58" xfId="0" applyFont="true" applyBorder="true" applyAlignment="true" applyProtection="true">
      <alignment horizontal="general" vertical="center" textRotation="0" wrapText="true" indent="0" shrinkToFit="false"/>
      <protection locked="true" hidden="false"/>
    </xf>
    <xf numFmtId="164" fontId="0" fillId="12" borderId="32" xfId="0" applyFont="true" applyBorder="true" applyAlignment="true" applyProtection="true">
      <alignment horizontal="general" vertical="top" textRotation="0" wrapText="false" indent="0" shrinkToFit="false"/>
      <protection locked="true" hidden="false"/>
    </xf>
    <xf numFmtId="164" fontId="0" fillId="0" borderId="32" xfId="0" applyFont="true" applyBorder="true" applyAlignment="true" applyProtection="true">
      <alignment horizontal="general" vertical="top" textRotation="0" wrapText="false" indent="0" shrinkToFit="false"/>
      <protection locked="true" hidden="false"/>
    </xf>
    <xf numFmtId="164" fontId="7" fillId="14" borderId="27" xfId="0" applyFont="true" applyBorder="true" applyAlignment="true" applyProtection="true">
      <alignment horizontal="general" vertical="center" textRotation="0" wrapText="true" indent="0" shrinkToFit="false"/>
      <protection locked="true" hidden="false"/>
    </xf>
    <xf numFmtId="164" fontId="0" fillId="13" borderId="32" xfId="0" applyFont="true" applyBorder="true" applyAlignment="true" applyProtection="true">
      <alignment horizontal="general" vertical="top" textRotation="0" wrapText="false" indent="0" shrinkToFit="false"/>
      <protection locked="false" hidden="false"/>
    </xf>
    <xf numFmtId="164" fontId="101" fillId="0" borderId="14" xfId="0" applyFont="true" applyBorder="true" applyAlignment="true" applyProtection="true">
      <alignment horizontal="center" vertical="center" textRotation="0" wrapText="true" indent="0" shrinkToFit="false"/>
      <protection locked="true" hidden="false"/>
    </xf>
    <xf numFmtId="164" fontId="0" fillId="13" borderId="27" xfId="0" applyFont="true" applyBorder="true" applyAlignment="true" applyProtection="true">
      <alignment horizontal="general" vertical="top" textRotation="0" wrapText="false" indent="0" shrinkToFit="false"/>
      <protection locked="false" hidden="false"/>
    </xf>
    <xf numFmtId="173" fontId="7" fillId="14" borderId="32" xfId="0" applyFont="true" applyBorder="true" applyAlignment="true" applyProtection="true">
      <alignment horizontal="left" vertical="center" textRotation="0" wrapText="true" indent="1" shrinkToFit="false"/>
      <protection locked="true" hidden="false"/>
    </xf>
    <xf numFmtId="164" fontId="7" fillId="14" borderId="32" xfId="0" applyFont="true" applyBorder="true" applyAlignment="true" applyProtection="true">
      <alignment horizontal="general" vertical="center" textRotation="0" wrapText="true" indent="0" shrinkToFit="false"/>
      <protection locked="true" hidden="false"/>
    </xf>
    <xf numFmtId="164" fontId="7" fillId="14" borderId="20" xfId="0" applyFont="true" applyBorder="true" applyAlignment="true" applyProtection="true">
      <alignment horizontal="general" vertical="center" textRotation="0" wrapText="true" indent="0" shrinkToFit="false"/>
      <protection locked="true" hidden="false"/>
    </xf>
    <xf numFmtId="164" fontId="0" fillId="13" borderId="20" xfId="0" applyFont="true" applyBorder="true" applyAlignment="true" applyProtection="true">
      <alignment horizontal="general" vertical="top" textRotation="0" wrapText="false" indent="0" shrinkToFit="false"/>
      <protection locked="false" hidden="false"/>
    </xf>
    <xf numFmtId="164" fontId="101" fillId="0" borderId="32" xfId="0" applyFont="true" applyBorder="true" applyAlignment="true" applyProtection="true">
      <alignment horizontal="center" vertical="top" textRotation="0" wrapText="true" indent="0" shrinkToFit="false"/>
      <protection locked="true" hidden="false"/>
    </xf>
    <xf numFmtId="165" fontId="57" fillId="0" borderId="21" xfId="0" applyFont="true" applyBorder="true" applyAlignment="true" applyProtection="true">
      <alignment horizontal="center" vertical="center" textRotation="0" wrapText="false" indent="0" shrinkToFit="false"/>
      <protection locked="true" hidden="false"/>
    </xf>
    <xf numFmtId="172" fontId="99" fillId="0" borderId="59" xfId="0" applyFont="true" applyBorder="true" applyAlignment="true" applyProtection="true">
      <alignment horizontal="left" vertical="center" textRotation="0" wrapText="false" indent="1" shrinkToFit="false"/>
      <protection locked="true" hidden="false"/>
    </xf>
    <xf numFmtId="164" fontId="7" fillId="0" borderId="60" xfId="0" applyFont="true" applyBorder="true" applyAlignment="true" applyProtection="true">
      <alignment horizontal="center" vertical="center" textRotation="0" wrapText="false" indent="0" shrinkToFit="false"/>
      <protection locked="true" hidden="false"/>
    </xf>
    <xf numFmtId="165" fontId="7" fillId="0" borderId="60" xfId="0" applyFont="true" applyBorder="true" applyAlignment="true" applyProtection="true">
      <alignment horizontal="right" vertical="center" textRotation="0" wrapText="false" indent="0" shrinkToFit="false"/>
      <protection locked="true" hidden="false"/>
    </xf>
    <xf numFmtId="165" fontId="7" fillId="0" borderId="60" xfId="0" applyFont="true" applyBorder="true" applyAlignment="true" applyProtection="true">
      <alignment horizontal="center" vertical="center" textRotation="0" wrapText="false" indent="0" shrinkToFit="false"/>
      <protection locked="true" hidden="false"/>
    </xf>
    <xf numFmtId="165" fontId="7" fillId="0" borderId="12" xfId="0" applyFont="true" applyBorder="true" applyAlignment="true" applyProtection="true">
      <alignment horizontal="right" vertical="center" textRotation="0" wrapText="false" indent="0" shrinkToFit="false"/>
      <protection locked="true" hidden="false"/>
    </xf>
    <xf numFmtId="165" fontId="7" fillId="0" borderId="21" xfId="0" applyFont="true" applyBorder="true" applyAlignment="true" applyProtection="true">
      <alignment horizontal="right" vertical="center" textRotation="0" wrapText="false" indent="0" shrinkToFit="false"/>
      <protection locked="true" hidden="false"/>
    </xf>
    <xf numFmtId="164" fontId="7" fillId="10" borderId="14" xfId="0" applyFont="true" applyBorder="true" applyAlignment="true" applyProtection="true">
      <alignment horizontal="left" vertical="center" textRotation="0" wrapText="false" indent="1" shrinkToFit="false"/>
      <protection locked="false" hidden="false"/>
    </xf>
    <xf numFmtId="165" fontId="7" fillId="3" borderId="14" xfId="0" applyFont="true" applyBorder="true" applyAlignment="true" applyProtection="true">
      <alignment horizontal="right" vertical="center" textRotation="0" wrapText="false" indent="0" shrinkToFit="false"/>
      <protection locked="true" hidden="false"/>
    </xf>
    <xf numFmtId="171" fontId="7" fillId="10" borderId="14" xfId="0" applyFont="true" applyBorder="true" applyAlignment="true" applyProtection="true">
      <alignment horizontal="right" vertical="center" textRotation="0" wrapText="false" indent="0" shrinkToFit="false"/>
      <protection locked="false" hidden="false"/>
    </xf>
    <xf numFmtId="164" fontId="56" fillId="15" borderId="61" xfId="0" applyFont="true" applyBorder="true" applyAlignment="true" applyProtection="true">
      <alignment horizontal="left" vertical="center" textRotation="0" wrapText="false" indent="1" shrinkToFit="false"/>
      <protection locked="true" hidden="false"/>
    </xf>
    <xf numFmtId="164" fontId="56" fillId="24" borderId="21" xfId="0" applyFont="true" applyBorder="true" applyAlignment="true" applyProtection="true">
      <alignment horizontal="left" vertical="center" textRotation="0" wrapText="false" indent="1" shrinkToFit="false"/>
      <protection locked="true" hidden="false"/>
    </xf>
    <xf numFmtId="165" fontId="56" fillId="0" borderId="14" xfId="0" applyFont="true" applyBorder="true" applyAlignment="true" applyProtection="true">
      <alignment horizontal="left" vertical="center" textRotation="0" wrapText="false" indent="1" shrinkToFit="false"/>
      <protection locked="true" hidden="false"/>
    </xf>
    <xf numFmtId="165" fontId="33" fillId="0" borderId="20" xfId="0" applyFont="true" applyBorder="true" applyAlignment="true" applyProtection="true">
      <alignment horizontal="general" vertical="center" textRotation="0" wrapText="true" indent="0" shrinkToFit="false"/>
      <protection locked="true" hidden="false"/>
    </xf>
    <xf numFmtId="178" fontId="33" fillId="0" borderId="20" xfId="0" applyFont="true" applyBorder="true" applyAlignment="true" applyProtection="true">
      <alignment horizontal="center" vertical="center" textRotation="0" wrapText="true" indent="0" shrinkToFit="false"/>
      <protection locked="true" hidden="false"/>
    </xf>
    <xf numFmtId="165" fontId="33" fillId="0" borderId="0" xfId="0" applyFont="true" applyBorder="true" applyAlignment="true" applyProtection="true">
      <alignment horizontal="center" vertical="top" textRotation="0" wrapText="false" indent="0" shrinkToFit="false"/>
      <protection locked="true" hidden="false"/>
    </xf>
    <xf numFmtId="164" fontId="33" fillId="0" borderId="15" xfId="0" applyFont="true" applyBorder="true" applyAlignment="true" applyProtection="true">
      <alignment horizontal="left" vertical="center" textRotation="0" wrapText="false" indent="0" shrinkToFit="false"/>
      <protection locked="true" hidden="false"/>
    </xf>
    <xf numFmtId="164" fontId="33" fillId="0" borderId="12" xfId="0" applyFont="true" applyBorder="true" applyAlignment="true" applyProtection="true">
      <alignment horizontal="left" vertical="center" textRotation="0" wrapText="false" indent="1" shrinkToFit="false"/>
      <protection locked="true" hidden="false"/>
    </xf>
    <xf numFmtId="164" fontId="33" fillId="0" borderId="12" xfId="0" applyFont="true" applyBorder="true" applyAlignment="true" applyProtection="true">
      <alignment horizontal="left" vertical="center" textRotation="0" wrapText="false" indent="0" shrinkToFit="false"/>
      <protection locked="true" hidden="false"/>
    </xf>
    <xf numFmtId="164" fontId="33" fillId="0" borderId="21" xfId="0" applyFont="true" applyBorder="true" applyAlignment="true" applyProtection="true">
      <alignment horizontal="left" vertical="center" textRotation="0" wrapText="false" indent="1" shrinkToFit="false"/>
      <protection locked="true" hidden="false"/>
    </xf>
    <xf numFmtId="165" fontId="33" fillId="0" borderId="14" xfId="0" applyFont="true" applyBorder="true" applyAlignment="true" applyProtection="true">
      <alignment horizontal="left" vertical="center" textRotation="0" wrapText="false" indent="1" shrinkToFit="false"/>
      <protection locked="true" hidden="false"/>
    </xf>
    <xf numFmtId="164" fontId="0" fillId="0" borderId="16" xfId="0" applyFont="true" applyBorder="true" applyAlignment="true" applyProtection="true">
      <alignment horizontal="general" vertical="top" textRotation="0" wrapText="false" indent="0" shrinkToFit="false"/>
      <protection locked="true" hidden="false"/>
    </xf>
    <xf numFmtId="164" fontId="47" fillId="0" borderId="14" xfId="0" applyFont="true" applyBorder="true" applyAlignment="true" applyProtection="true">
      <alignment horizontal="center" vertical="top" textRotation="0" wrapText="true" indent="0" shrinkToFit="false"/>
      <protection locked="true" hidden="false"/>
    </xf>
    <xf numFmtId="164" fontId="7" fillId="13" borderId="15" xfId="0" applyFont="true" applyBorder="true" applyAlignment="true" applyProtection="true">
      <alignment horizontal="left" vertical="center" textRotation="0" wrapText="true" indent="1" shrinkToFit="false"/>
      <protection locked="false" hidden="false"/>
    </xf>
    <xf numFmtId="164" fontId="0" fillId="0" borderId="21" xfId="0" applyFont="true" applyBorder="true" applyAlignment="true" applyProtection="true">
      <alignment horizontal="center" vertical="center" textRotation="0" wrapText="true" indent="0" shrinkToFit="false"/>
      <protection locked="true" hidden="false"/>
    </xf>
    <xf numFmtId="164" fontId="0" fillId="13" borderId="15" xfId="0" applyFont="true" applyBorder="true" applyAlignment="true" applyProtection="true">
      <alignment horizontal="left" vertical="center" textRotation="0" wrapText="true" indent="0" shrinkToFit="false"/>
      <protection locked="false" hidden="false"/>
    </xf>
    <xf numFmtId="164" fontId="0" fillId="0" borderId="31" xfId="0" applyFont="true" applyBorder="true" applyAlignment="true" applyProtection="true">
      <alignment horizontal="center" vertical="center" textRotation="0" wrapText="true" indent="0" shrinkToFit="false"/>
      <protection locked="true" hidden="false"/>
    </xf>
    <xf numFmtId="164" fontId="0" fillId="15" borderId="30" xfId="0" applyFont="true" applyBorder="true" applyAlignment="true" applyProtection="true">
      <alignment horizontal="center" vertical="center" textRotation="0" wrapText="false" indent="0" shrinkToFit="false"/>
      <protection locked="true" hidden="false"/>
    </xf>
    <xf numFmtId="164" fontId="0" fillId="15" borderId="12" xfId="0" applyFont="true" applyBorder="true" applyAlignment="true" applyProtection="true">
      <alignment horizontal="center" vertical="center" textRotation="0" wrapText="false" indent="0" shrinkToFit="false"/>
      <protection locked="true" hidden="false"/>
    </xf>
    <xf numFmtId="164" fontId="0" fillId="0" borderId="18" xfId="0" applyFont="true" applyBorder="true" applyAlignment="true" applyProtection="true">
      <alignment horizontal="general" vertical="top" textRotation="0" wrapText="false" indent="0" shrinkToFit="false"/>
      <protection locked="true" hidden="false"/>
    </xf>
    <xf numFmtId="164" fontId="0" fillId="0" borderId="19" xfId="0" applyFont="true" applyBorder="true" applyAlignment="true" applyProtection="true">
      <alignment horizontal="general" vertical="top" textRotation="0" wrapText="false" indent="0" shrinkToFit="false"/>
      <protection locked="true" hidden="false"/>
    </xf>
    <xf numFmtId="164" fontId="0" fillId="0" borderId="0" xfId="0" applyFont="true" applyBorder="true" applyAlignment="true" applyProtection="true">
      <alignment horizontal="left" vertical="top" textRotation="0" wrapText="false" indent="0" shrinkToFit="false"/>
      <protection locked="true" hidden="false"/>
    </xf>
    <xf numFmtId="165" fontId="7" fillId="14" borderId="14" xfId="0" applyFont="true" applyBorder="true" applyAlignment="true" applyProtection="true">
      <alignment horizontal="left" vertical="top" textRotation="0" wrapText="true" indent="0" shrinkToFit="false"/>
      <protection locked="true" hidden="false"/>
    </xf>
    <xf numFmtId="164" fontId="0" fillId="0" borderId="32" xfId="0" applyFont="true" applyBorder="true" applyAlignment="true" applyProtection="true">
      <alignment horizontal="left" vertical="top" textRotation="0" wrapText="false" indent="0" shrinkToFit="false"/>
      <protection locked="true" hidden="false"/>
    </xf>
    <xf numFmtId="165" fontId="7" fillId="14" borderId="32" xfId="0" applyFont="true" applyBorder="true" applyAlignment="true" applyProtection="true">
      <alignment horizontal="center" vertical="top" textRotation="0" wrapText="true" indent="0" shrinkToFit="false"/>
      <protection locked="true" hidden="false"/>
    </xf>
    <xf numFmtId="164" fontId="0" fillId="14" borderId="32" xfId="0" applyFont="true" applyBorder="true" applyAlignment="true" applyProtection="true">
      <alignment horizontal="left" vertical="top" textRotation="0" wrapText="false" indent="0" shrinkToFit="false"/>
      <protection locked="true" hidden="false"/>
    </xf>
    <xf numFmtId="164" fontId="0" fillId="10" borderId="32" xfId="0" applyFont="true" applyBorder="true" applyAlignment="true" applyProtection="true">
      <alignment horizontal="left" vertical="top" textRotation="0" wrapText="false" indent="0" shrinkToFit="false"/>
      <protection locked="false" hidden="false"/>
    </xf>
    <xf numFmtId="164" fontId="7" fillId="14" borderId="0" xfId="0" applyFont="true" applyBorder="true" applyAlignment="true" applyProtection="true">
      <alignment horizontal="center" vertical="center" textRotation="0" wrapText="true" indent="0" shrinkToFit="false"/>
      <protection locked="true" hidden="false"/>
    </xf>
    <xf numFmtId="165" fontId="56" fillId="0" borderId="32" xfId="0" applyFont="true" applyBorder="true" applyAlignment="true" applyProtection="true">
      <alignment horizontal="left" vertical="center" textRotation="0" wrapText="false" indent="0" shrinkToFit="false"/>
      <protection locked="true" hidden="false"/>
    </xf>
    <xf numFmtId="164" fontId="0" fillId="14" borderId="32" xfId="0" applyFont="true" applyBorder="true" applyAlignment="true" applyProtection="true">
      <alignment horizontal="left" vertical="center" textRotation="0" wrapText="true" indent="0" shrinkToFit="false"/>
      <protection locked="false" hidden="false"/>
    </xf>
    <xf numFmtId="164" fontId="7" fillId="14" borderId="32" xfId="0" applyFont="true" applyBorder="true" applyAlignment="true" applyProtection="true">
      <alignment horizontal="center" vertical="center" textRotation="0" wrapText="true" indent="0" shrinkToFit="false"/>
      <protection locked="true" hidden="false"/>
    </xf>
    <xf numFmtId="165" fontId="56" fillId="10" borderId="32" xfId="0" applyFont="true" applyBorder="true" applyAlignment="true" applyProtection="true">
      <alignment horizontal="left" vertical="center" textRotation="0" wrapText="false" indent="0" shrinkToFit="false"/>
      <protection locked="false" hidden="false"/>
    </xf>
    <xf numFmtId="165" fontId="56" fillId="13" borderId="32" xfId="0" applyFont="true" applyBorder="true" applyAlignment="true" applyProtection="true">
      <alignment horizontal="left" vertical="center" textRotation="0" wrapText="false" indent="0" shrinkToFit="false"/>
      <protection locked="false" hidden="false"/>
    </xf>
    <xf numFmtId="164" fontId="0" fillId="10" borderId="32" xfId="0" applyFont="true" applyBorder="true" applyAlignment="true" applyProtection="true">
      <alignment horizontal="general" vertical="top" textRotation="0" wrapText="false" indent="0" shrinkToFit="false"/>
      <protection locked="false" hidden="false"/>
    </xf>
    <xf numFmtId="164" fontId="7" fillId="0" borderId="32" xfId="0" applyFont="true" applyBorder="true" applyAlignment="true" applyProtection="true">
      <alignment horizontal="center" vertical="center" textRotation="0" wrapText="false" indent="0" shrinkToFit="false"/>
      <protection locked="true" hidden="false"/>
    </xf>
    <xf numFmtId="164" fontId="7" fillId="0" borderId="32" xfId="0" applyFont="true" applyBorder="true" applyAlignment="true" applyProtection="true">
      <alignment horizontal="general" vertical="center" textRotation="0" wrapText="true" indent="0" shrinkToFit="false"/>
      <protection locked="true" hidden="false"/>
    </xf>
    <xf numFmtId="165" fontId="7" fillId="0" borderId="19" xfId="0" applyFont="true" applyBorder="true" applyAlignment="true" applyProtection="true">
      <alignment horizontal="center" vertical="center" textRotation="0" wrapText="false" indent="0" shrinkToFit="false"/>
      <protection locked="true" hidden="false"/>
    </xf>
    <xf numFmtId="164" fontId="7" fillId="10" borderId="27" xfId="0" applyFont="true" applyBorder="true" applyAlignment="true" applyProtection="true">
      <alignment horizontal="left" vertical="center" textRotation="0" wrapText="true" indent="0" shrinkToFit="false"/>
      <protection locked="false" hidden="false"/>
    </xf>
    <xf numFmtId="164" fontId="7" fillId="14" borderId="27" xfId="0" applyFont="true" applyBorder="true" applyAlignment="true" applyProtection="true">
      <alignment horizontal="center" vertical="center" textRotation="0" wrapText="true" indent="0" shrinkToFit="false"/>
      <protection locked="true" hidden="false"/>
    </xf>
    <xf numFmtId="164" fontId="7" fillId="13" borderId="27" xfId="0" applyFont="true" applyBorder="true" applyAlignment="true" applyProtection="true">
      <alignment horizontal="left" vertical="center" textRotation="0" wrapText="true" indent="0" shrinkToFit="false"/>
      <protection locked="false" hidden="false"/>
    </xf>
    <xf numFmtId="164" fontId="47" fillId="0" borderId="32" xfId="0" applyFont="true" applyBorder="true" applyAlignment="true" applyProtection="true">
      <alignment horizontal="general" vertical="center" textRotation="0" wrapText="true" indent="0" shrinkToFit="false"/>
      <protection locked="true" hidden="false"/>
    </xf>
    <xf numFmtId="172" fontId="7" fillId="14" borderId="27" xfId="0" applyFont="true" applyBorder="true" applyAlignment="true" applyProtection="true">
      <alignment horizontal="left" vertical="center" textRotation="0" wrapText="true" indent="0" shrinkToFit="false"/>
      <protection locked="true" hidden="false"/>
    </xf>
    <xf numFmtId="165" fontId="7" fillId="0" borderId="32" xfId="0" applyFont="true" applyBorder="true" applyAlignment="true" applyProtection="true">
      <alignment horizontal="left" vertical="center" textRotation="0" wrapText="true" indent="0" shrinkToFit="false"/>
      <protection locked="true" hidden="false"/>
    </xf>
    <xf numFmtId="164" fontId="7" fillId="0" borderId="32" xfId="0" applyFont="true" applyBorder="true" applyAlignment="true" applyProtection="true">
      <alignment horizontal="left" vertical="center" textRotation="0" wrapText="true" indent="0" shrinkToFit="false"/>
      <protection locked="true" hidden="false"/>
    </xf>
    <xf numFmtId="164" fontId="7" fillId="0" borderId="32" xfId="0" applyFont="true" applyBorder="true" applyAlignment="true" applyProtection="true">
      <alignment horizontal="center" vertical="center" textRotation="0" wrapText="true" indent="0" shrinkToFit="false"/>
      <protection locked="true" hidden="false"/>
    </xf>
    <xf numFmtId="165" fontId="56" fillId="0" borderId="20" xfId="0" applyFont="true" applyBorder="true" applyAlignment="true" applyProtection="true">
      <alignment horizontal="left" vertical="center" textRotation="0" wrapText="false" indent="0" shrinkToFit="false"/>
      <protection locked="true" hidden="false"/>
    </xf>
    <xf numFmtId="165" fontId="56" fillId="15" borderId="24" xfId="0" applyFont="true" applyBorder="true" applyAlignment="true" applyProtection="true">
      <alignment horizontal="left" vertical="center" textRotation="0" wrapText="false" indent="0" shrinkToFit="false"/>
      <protection locked="true" hidden="false"/>
    </xf>
    <xf numFmtId="165" fontId="56" fillId="15" borderId="17" xfId="0" applyFont="true" applyBorder="true" applyAlignment="true" applyProtection="true">
      <alignment horizontal="left" vertical="center" textRotation="0" wrapText="false" indent="0" shrinkToFit="false"/>
      <protection locked="true" hidden="false"/>
    </xf>
    <xf numFmtId="164" fontId="47" fillId="0" borderId="32" xfId="0" applyFont="true" applyBorder="true" applyAlignment="true" applyProtection="true">
      <alignment horizontal="center" vertical="center" textRotation="0" wrapText="true" indent="0" shrinkToFit="false"/>
      <protection locked="true" hidden="false"/>
    </xf>
    <xf numFmtId="165" fontId="56" fillId="15" borderId="24" xfId="0" applyFont="true" applyBorder="true" applyAlignment="true" applyProtection="true">
      <alignment horizontal="general" vertical="center" textRotation="0" wrapText="false" indent="0" shrinkToFit="false"/>
      <protection locked="true" hidden="false"/>
    </xf>
    <xf numFmtId="164" fontId="67" fillId="15" borderId="15" xfId="0" applyFont="true" applyBorder="true" applyAlignment="true" applyProtection="true">
      <alignment horizontal="general" vertical="top" textRotation="0" wrapText="false" indent="0" shrinkToFit="false"/>
      <protection locked="true" hidden="false"/>
    </xf>
    <xf numFmtId="164" fontId="67" fillId="15" borderId="12" xfId="0" applyFont="true" applyBorder="true" applyAlignment="true" applyProtection="true">
      <alignment horizontal="general" vertical="top" textRotation="0" wrapText="false" indent="0" shrinkToFit="false"/>
      <protection locked="true" hidden="false"/>
    </xf>
    <xf numFmtId="164" fontId="102" fillId="0" borderId="0" xfId="0" applyFont="true" applyBorder="true" applyAlignment="true" applyProtection="true">
      <alignment horizontal="general" vertical="top" textRotation="0" wrapText="true" indent="0" shrinkToFit="false"/>
      <protection locked="true" hidden="false"/>
    </xf>
    <xf numFmtId="164" fontId="102" fillId="0" borderId="0" xfId="0" applyFont="true" applyBorder="true" applyAlignment="true" applyProtection="true">
      <alignment horizontal="general" vertical="top" textRotation="0" wrapText="false" indent="0" shrinkToFit="false"/>
      <protection locked="true" hidden="false"/>
    </xf>
    <xf numFmtId="164" fontId="102" fillId="0" borderId="14" xfId="0" applyFont="true" applyBorder="true" applyAlignment="true" applyProtection="true">
      <alignment horizontal="general" vertical="top" textRotation="0" wrapText="true" indent="0" shrinkToFit="false"/>
      <protection locked="true" hidden="false"/>
    </xf>
    <xf numFmtId="164" fontId="30" fillId="0" borderId="14" xfId="0" applyFont="true" applyBorder="true" applyAlignment="true" applyProtection="true">
      <alignment horizontal="center" vertical="top" textRotation="0" wrapText="true" indent="0" shrinkToFit="false"/>
      <protection locked="true" hidden="false"/>
    </xf>
    <xf numFmtId="164" fontId="30" fillId="3" borderId="14" xfId="0" applyFont="true" applyBorder="true" applyAlignment="true" applyProtection="true">
      <alignment horizontal="center" vertical="top" textRotation="0" wrapText="false" indent="0" shrinkToFit="false"/>
      <protection locked="true" hidden="false"/>
    </xf>
    <xf numFmtId="164" fontId="30" fillId="0" borderId="14" xfId="0" applyFont="true" applyBorder="true" applyAlignment="true" applyProtection="true">
      <alignment horizontal="general" vertical="top" textRotation="0" wrapText="true" indent="0" shrinkToFit="false"/>
      <protection locked="true" hidden="false"/>
    </xf>
    <xf numFmtId="172" fontId="30" fillId="0" borderId="14" xfId="0" applyFont="true" applyBorder="true" applyAlignment="true" applyProtection="true">
      <alignment horizontal="general" vertical="top" textRotation="0" wrapText="true" indent="0" shrinkToFit="false"/>
      <protection locked="true" hidden="false"/>
    </xf>
    <xf numFmtId="164" fontId="30" fillId="0" borderId="14" xfId="0" applyFont="true" applyBorder="true" applyAlignment="true" applyProtection="true">
      <alignment horizontal="general" vertical="top" textRotation="0" wrapText="false" indent="0" shrinkToFit="false"/>
      <protection locked="true" hidden="false"/>
    </xf>
    <xf numFmtId="164" fontId="102" fillId="0" borderId="14" xfId="0" applyFont="true" applyBorder="true" applyAlignment="true" applyProtection="true">
      <alignment horizontal="general" vertical="top" textRotation="0" wrapText="false" indent="0" shrinkToFit="false"/>
      <protection locked="true" hidden="false"/>
    </xf>
    <xf numFmtId="172" fontId="102" fillId="0" borderId="14" xfId="0" applyFont="true" applyBorder="true" applyAlignment="true" applyProtection="true">
      <alignment horizontal="general" vertical="top" textRotation="0" wrapText="true" indent="0" shrinkToFit="false"/>
      <protection locked="true" hidden="false"/>
    </xf>
    <xf numFmtId="164" fontId="102" fillId="0" borderId="0" xfId="0" applyFont="true" applyBorder="true" applyAlignment="true" applyProtection="true">
      <alignment horizontal="left" vertical="top" textRotation="0" wrapText="true" indent="0" shrinkToFit="false"/>
      <protection locked="true" hidden="false"/>
    </xf>
    <xf numFmtId="164" fontId="102" fillId="3" borderId="0" xfId="0" applyFont="true" applyBorder="true" applyAlignment="true" applyProtection="true">
      <alignment horizontal="left" vertical="top" textRotation="0" wrapText="true" indent="0" shrinkToFit="false"/>
      <protection locked="true" hidden="false"/>
    </xf>
    <xf numFmtId="165" fontId="102" fillId="0" borderId="0" xfId="0" applyFont="true" applyBorder="true" applyAlignment="true" applyProtection="true">
      <alignment horizontal="general" vertical="top" textRotation="0" wrapText="true" indent="0" shrinkToFit="false"/>
      <protection locked="true" hidden="false"/>
    </xf>
    <xf numFmtId="164" fontId="102" fillId="0" borderId="14" xfId="0" applyFont="true" applyBorder="true" applyAlignment="true" applyProtection="true">
      <alignment horizontal="center" vertical="top" textRotation="0" wrapText="true" indent="0" shrinkToFit="false"/>
      <protection locked="true" hidden="false"/>
    </xf>
    <xf numFmtId="164" fontId="102" fillId="3" borderId="14" xfId="0" applyFont="true" applyBorder="true" applyAlignment="true" applyProtection="true">
      <alignment horizontal="center" vertical="top" textRotation="0" wrapText="true" indent="0" shrinkToFit="false"/>
      <protection locked="true" hidden="false"/>
    </xf>
    <xf numFmtId="164" fontId="102" fillId="0" borderId="0" xfId="0" applyFont="true" applyBorder="true" applyAlignment="true" applyProtection="true">
      <alignment horizontal="center" vertical="top" textRotation="0" wrapText="true" indent="0" shrinkToFit="false"/>
      <protection locked="true" hidden="false"/>
    </xf>
    <xf numFmtId="164" fontId="30" fillId="3" borderId="14" xfId="0" applyFont="true" applyBorder="true" applyAlignment="true" applyProtection="true">
      <alignment horizontal="center" vertical="top" textRotation="0" wrapText="true" indent="0" shrinkToFit="false"/>
      <protection locked="true" hidden="false"/>
    </xf>
    <xf numFmtId="164" fontId="102" fillId="0" borderId="14" xfId="0" applyFont="true" applyBorder="true" applyAlignment="true" applyProtection="true">
      <alignment horizontal="left" vertical="top" textRotation="0" wrapText="true" indent="0" shrinkToFit="false"/>
      <protection locked="true" hidden="false"/>
    </xf>
    <xf numFmtId="165" fontId="30" fillId="3" borderId="14" xfId="0" applyFont="true" applyBorder="true" applyAlignment="true" applyProtection="true">
      <alignment horizontal="center" vertical="top" textRotation="0" wrapText="true" indent="0" shrinkToFit="false"/>
      <protection locked="true" hidden="false"/>
    </xf>
    <xf numFmtId="165" fontId="102" fillId="3" borderId="14" xfId="0" applyFont="true" applyBorder="true" applyAlignment="true" applyProtection="true">
      <alignment horizontal="right" vertical="center" textRotation="0" wrapText="true" indent="0" shrinkToFit="false"/>
      <protection locked="true" hidden="false"/>
    </xf>
    <xf numFmtId="172" fontId="102" fillId="0" borderId="14" xfId="0" applyFont="true" applyBorder="true" applyAlignment="true" applyProtection="true">
      <alignment horizontal="left" vertical="top" textRotation="0" wrapText="true" indent="0" shrinkToFit="false"/>
      <protection locked="true" hidden="false"/>
    </xf>
    <xf numFmtId="164" fontId="102" fillId="3" borderId="14" xfId="0" applyFont="true" applyBorder="true" applyAlignment="true" applyProtection="true">
      <alignment horizontal="left" vertical="top" textRotation="0" wrapText="true" indent="0" shrinkToFit="false"/>
      <protection locked="true" hidden="false"/>
    </xf>
    <xf numFmtId="165" fontId="102" fillId="3" borderId="14" xfId="0" applyFont="true" applyBorder="true" applyAlignment="true" applyProtection="true">
      <alignment horizontal="center" vertical="center" textRotation="0" wrapText="true" indent="0" shrinkToFit="false"/>
      <protection locked="true" hidden="false"/>
    </xf>
    <xf numFmtId="164" fontId="102" fillId="0" borderId="27" xfId="0" applyFont="true" applyBorder="true" applyAlignment="true" applyProtection="true">
      <alignment horizontal="center" vertical="top" textRotation="0" wrapText="true" indent="0" shrinkToFit="false"/>
      <protection locked="true" hidden="false"/>
    </xf>
    <xf numFmtId="172" fontId="102" fillId="0" borderId="27" xfId="0" applyFont="true" applyBorder="true" applyAlignment="true" applyProtection="true">
      <alignment horizontal="left" vertical="top" textRotation="0" wrapText="true" indent="0" shrinkToFit="false"/>
      <protection locked="true" hidden="false"/>
    </xf>
    <xf numFmtId="164" fontId="102" fillId="0" borderId="15" xfId="0" applyFont="true" applyBorder="true" applyAlignment="true" applyProtection="true">
      <alignment horizontal="center" vertical="top" textRotation="0" wrapText="true" indent="0" shrinkToFit="false"/>
      <protection locked="true" hidden="false"/>
    </xf>
    <xf numFmtId="164" fontId="102" fillId="0" borderId="24" xfId="0" applyFont="true" applyBorder="true" applyAlignment="true" applyProtection="true">
      <alignment horizontal="center" vertical="top" textRotation="0" wrapText="true" indent="0" shrinkToFit="false"/>
      <protection locked="true" hidden="false"/>
    </xf>
    <xf numFmtId="172" fontId="102" fillId="0" borderId="21" xfId="0" applyFont="true" applyBorder="true" applyAlignment="true" applyProtection="true">
      <alignment horizontal="left" vertical="top" textRotation="0" wrapText="true" indent="0" shrinkToFit="false"/>
      <protection locked="true" hidden="false"/>
    </xf>
    <xf numFmtId="164" fontId="102" fillId="0" borderId="18" xfId="0" applyFont="true" applyBorder="true" applyAlignment="true" applyProtection="true">
      <alignment horizontal="center" vertical="top" textRotation="0" wrapText="true" indent="0" shrinkToFit="false"/>
      <protection locked="true" hidden="false"/>
    </xf>
    <xf numFmtId="165" fontId="102" fillId="0" borderId="27" xfId="0" applyFont="true" applyBorder="true" applyAlignment="true" applyProtection="true">
      <alignment horizontal="general" vertical="top" textRotation="0" wrapText="true" indent="0" shrinkToFit="false"/>
      <protection locked="true" hidden="false"/>
    </xf>
    <xf numFmtId="164" fontId="30" fillId="0" borderId="14" xfId="0" applyFont="true" applyBorder="true" applyAlignment="true" applyProtection="true">
      <alignment horizontal="left" vertical="top" textRotation="0" wrapText="true" indent="0" shrinkToFit="false"/>
      <protection locked="true" hidden="false"/>
    </xf>
    <xf numFmtId="165" fontId="30" fillId="0" borderId="15" xfId="0" applyFont="true" applyBorder="true" applyAlignment="true" applyProtection="true">
      <alignment horizontal="center" vertical="center" textRotation="0" wrapText="true" indent="0" shrinkToFit="false"/>
      <protection locked="true" hidden="false"/>
    </xf>
    <xf numFmtId="172" fontId="30" fillId="0" borderId="15" xfId="0" applyFont="true" applyBorder="true" applyAlignment="true" applyProtection="true">
      <alignment horizontal="center" vertical="center" textRotation="0" wrapText="false" indent="0" shrinkToFit="false"/>
      <protection locked="true" hidden="false"/>
    </xf>
    <xf numFmtId="164" fontId="30" fillId="0" borderId="14" xfId="0" applyFont="true" applyBorder="true" applyAlignment="true" applyProtection="true">
      <alignment horizontal="center" vertical="center" textRotation="0" wrapText="true" indent="0" shrinkToFit="false"/>
      <protection locked="true" hidden="false"/>
    </xf>
    <xf numFmtId="165" fontId="30" fillId="0" borderId="14" xfId="0" applyFont="true" applyBorder="true" applyAlignment="true" applyProtection="true">
      <alignment horizontal="general" vertical="center" textRotation="0" wrapText="true" indent="0" shrinkToFit="false"/>
      <protection locked="true" hidden="false"/>
    </xf>
    <xf numFmtId="164" fontId="102" fillId="0" borderId="15" xfId="0" applyFont="true" applyBorder="true" applyAlignment="true" applyProtection="true">
      <alignment horizontal="left" vertical="top" textRotation="0" wrapText="true" indent="0" shrinkToFit="false"/>
      <protection locked="true" hidden="false"/>
    </xf>
    <xf numFmtId="165" fontId="30" fillId="0" borderId="14" xfId="0" applyFont="true" applyBorder="true" applyAlignment="true" applyProtection="true">
      <alignment horizontal="center" vertical="center" textRotation="0" wrapText="true" indent="0" shrinkToFit="false"/>
      <protection locked="true" hidden="false"/>
    </xf>
    <xf numFmtId="165" fontId="30" fillId="0" borderId="27" xfId="0" applyFont="true" applyBorder="true" applyAlignment="true" applyProtection="true">
      <alignment horizontal="general" vertical="center" textRotation="0" wrapText="true" indent="0" shrinkToFit="false"/>
      <protection locked="true" hidden="false"/>
    </xf>
    <xf numFmtId="165" fontId="30" fillId="0" borderId="20" xfId="0" applyFont="true" applyBorder="true" applyAlignment="true" applyProtection="true">
      <alignment horizontal="general" vertical="center" textRotation="0" wrapText="true" indent="0" shrinkToFit="false"/>
      <protection locked="true" hidden="false"/>
    </xf>
    <xf numFmtId="164" fontId="102" fillId="0" borderId="30" xfId="0" applyFont="true" applyBorder="true" applyAlignment="true" applyProtection="true">
      <alignment horizontal="left" vertical="top" textRotation="0" wrapText="true" indent="0" shrinkToFit="false"/>
      <protection locked="true" hidden="false"/>
    </xf>
    <xf numFmtId="164" fontId="102" fillId="0" borderId="21" xfId="0" applyFont="true" applyBorder="true" applyAlignment="true" applyProtection="true">
      <alignment horizontal="left" vertical="top" textRotation="0" wrapText="true" indent="0" shrinkToFit="false"/>
      <protection locked="true" hidden="false"/>
    </xf>
    <xf numFmtId="164" fontId="30" fillId="0" borderId="27" xfId="0" applyFont="true" applyBorder="true" applyAlignment="true" applyProtection="true">
      <alignment horizontal="center" vertical="center" textRotation="0" wrapText="true" indent="0" shrinkToFit="false"/>
      <protection locked="true" hidden="false"/>
    </xf>
    <xf numFmtId="164" fontId="30" fillId="0" borderId="20" xfId="0" applyFont="true" applyBorder="true" applyAlignment="true" applyProtection="true">
      <alignment horizontal="center" vertical="center" textRotation="0" wrapText="true" indent="0" shrinkToFit="false"/>
      <protection locked="true" hidden="false"/>
    </xf>
    <xf numFmtId="165" fontId="30" fillId="0" borderId="27" xfId="0" applyFont="true" applyBorder="true" applyAlignment="true" applyProtection="true">
      <alignment horizontal="center" vertical="center" textRotation="0" wrapText="true" indent="0" shrinkToFit="false"/>
      <protection locked="true" hidden="false"/>
    </xf>
    <xf numFmtId="164" fontId="102" fillId="0" borderId="32" xfId="0" applyFont="true" applyBorder="true" applyAlignment="true" applyProtection="true">
      <alignment horizontal="left" vertical="top" textRotation="0" wrapText="true" indent="0" shrinkToFit="false"/>
      <protection locked="true" hidden="false"/>
    </xf>
    <xf numFmtId="172" fontId="102" fillId="0" borderId="32" xfId="0" applyFont="true" applyBorder="true" applyAlignment="true" applyProtection="true">
      <alignment horizontal="left" vertical="top" textRotation="0" wrapText="true" indent="0" shrinkToFit="false"/>
      <protection locked="true" hidden="false"/>
    </xf>
    <xf numFmtId="165" fontId="6" fillId="0" borderId="16" xfId="0" applyFont="true" applyBorder="true" applyAlignment="true" applyProtection="true">
      <alignment horizontal="left" vertical="center" textRotation="0" wrapText="true" indent="1" shrinkToFit="false"/>
      <protection locked="true" hidden="false"/>
    </xf>
    <xf numFmtId="172" fontId="6" fillId="0" borderId="23" xfId="0" applyFont="true" applyBorder="true" applyAlignment="true" applyProtection="true">
      <alignment horizontal="left" vertical="center" textRotation="0" wrapText="true" indent="1" shrinkToFit="false"/>
      <protection locked="true" hidden="false"/>
    </xf>
    <xf numFmtId="171" fontId="7" fillId="12" borderId="14" xfId="0" applyFont="true" applyBorder="true" applyAlignment="true" applyProtection="true">
      <alignment horizontal="left" vertical="center" textRotation="0" wrapText="true" indent="0" shrinkToFit="false"/>
      <protection locked="true" hidden="false"/>
    </xf>
    <xf numFmtId="172" fontId="31" fillId="0" borderId="0" xfId="0" applyFont="true" applyBorder="true" applyAlignment="true" applyProtection="true">
      <alignment horizontal="center" vertical="center" textRotation="0" wrapText="true" indent="0" shrinkToFit="false"/>
      <protection locked="true" hidden="false"/>
    </xf>
    <xf numFmtId="165" fontId="7" fillId="14" borderId="14" xfId="0" applyFont="true" applyBorder="true" applyAlignment="true" applyProtection="true">
      <alignment horizontal="left" vertical="center" textRotation="0" wrapText="true" indent="0" shrinkToFit="false"/>
      <protection locked="false" hidden="false"/>
    </xf>
    <xf numFmtId="165" fontId="7" fillId="14" borderId="14" xfId="0" applyFont="true" applyBorder="true" applyAlignment="true" applyProtection="true">
      <alignment horizontal="left" vertical="center" textRotation="0" wrapText="true" indent="6" shrinkToFit="false"/>
      <protection locked="false" hidden="false"/>
    </xf>
    <xf numFmtId="164" fontId="89" fillId="15" borderId="15" xfId="0" applyFont="true" applyBorder="true" applyAlignment="true" applyProtection="true">
      <alignment horizontal="left" vertical="center" textRotation="0" wrapText="false" indent="0" shrinkToFit="false"/>
      <protection locked="true" hidden="false"/>
    </xf>
    <xf numFmtId="164" fontId="103" fillId="15" borderId="12" xfId="0" applyFont="true" applyBorder="true" applyAlignment="true" applyProtection="true">
      <alignment horizontal="left" vertical="center" textRotation="0" wrapText="false" indent="3" shrinkToFit="false"/>
      <protection locked="true" hidden="false"/>
    </xf>
    <xf numFmtId="164" fontId="49" fillId="15" borderId="12" xfId="0" applyFont="true" applyBorder="true" applyAlignment="true" applyProtection="true">
      <alignment horizontal="center" vertical="center" textRotation="0" wrapText="true" indent="0" shrinkToFit="false"/>
      <protection locked="true" hidden="false"/>
    </xf>
    <xf numFmtId="164" fontId="67" fillId="15" borderId="12" xfId="0" applyFont="true" applyBorder="true" applyAlignment="true" applyProtection="true">
      <alignment horizontal="center" vertical="center" textRotation="0" wrapText="true" indent="0" shrinkToFit="false"/>
      <protection locked="true" hidden="false"/>
    </xf>
    <xf numFmtId="164" fontId="67" fillId="15" borderId="21" xfId="0" applyFont="true" applyBorder="true" applyAlignment="true" applyProtection="true">
      <alignment horizontal="center" vertical="center" textRotation="0" wrapText="true" indent="0" shrinkToFit="false"/>
      <protection locked="true" hidden="false"/>
    </xf>
    <xf numFmtId="164" fontId="103" fillId="15" borderId="12" xfId="0" applyFont="true" applyBorder="true" applyAlignment="true" applyProtection="true">
      <alignment horizontal="left" vertical="center" textRotation="0" wrapText="false" indent="2" shrinkToFit="false"/>
      <protection locked="true" hidden="false"/>
    </xf>
    <xf numFmtId="164" fontId="103" fillId="15" borderId="12" xfId="0" applyFont="true" applyBorder="true" applyAlignment="true" applyProtection="true">
      <alignment horizontal="left" vertical="center" textRotation="0" wrapText="false" indent="1" shrinkToFit="false"/>
      <protection locked="true" hidden="false"/>
    </xf>
    <xf numFmtId="164" fontId="31" fillId="0" borderId="0" xfId="0" applyFont="true" applyBorder="true" applyAlignment="true" applyProtection="true">
      <alignment horizontal="left" vertical="top" textRotation="0" wrapText="false" indent="0" shrinkToFit="false"/>
      <protection locked="true" hidden="false"/>
    </xf>
    <xf numFmtId="164" fontId="67" fillId="15" borderId="15" xfId="0" applyFont="true" applyBorder="true" applyAlignment="true" applyProtection="true">
      <alignment horizontal="left" vertical="top" textRotation="0" wrapText="false" indent="0" shrinkToFit="false"/>
      <protection locked="true" hidden="false"/>
    </xf>
    <xf numFmtId="164" fontId="103" fillId="15" borderId="12" xfId="0" applyFont="true" applyBorder="true" applyAlignment="true" applyProtection="true">
      <alignment horizontal="left" vertical="center" textRotation="0" wrapText="false" indent="0" shrinkToFit="false"/>
      <protection locked="true" hidden="false"/>
    </xf>
    <xf numFmtId="164" fontId="0" fillId="0" borderId="15" xfId="0" applyFont="true" applyBorder="true" applyAlignment="true" applyProtection="true">
      <alignment horizontal="center" vertical="top" textRotation="0" wrapText="false" indent="0" shrinkToFit="false"/>
      <protection locked="true" hidden="false"/>
    </xf>
    <xf numFmtId="164" fontId="0" fillId="25" borderId="27" xfId="0" applyFont="true" applyBorder="true" applyAlignment="true" applyProtection="true">
      <alignment horizontal="general" vertical="top" textRotation="0" wrapText="false" indent="0" shrinkToFit="false"/>
      <protection locked="true" hidden="false"/>
    </xf>
    <xf numFmtId="164" fontId="0" fillId="26" borderId="14" xfId="0" applyFont="true" applyBorder="true" applyAlignment="true" applyProtection="true">
      <alignment horizontal="general" vertical="top" textRotation="0" wrapText="false" indent="0" shrinkToFit="false"/>
      <protection locked="true" hidden="false"/>
    </xf>
    <xf numFmtId="164" fontId="0" fillId="0" borderId="12" xfId="0" applyFont="true" applyBorder="true" applyAlignment="true" applyProtection="true">
      <alignment horizontal="center" vertical="top" textRotation="0" wrapText="false" indent="0" shrinkToFit="false"/>
      <protection locked="true" hidden="false"/>
    </xf>
    <xf numFmtId="164" fontId="0" fillId="27" borderId="14" xfId="0" applyFont="true" applyBorder="true" applyAlignment="true" applyProtection="true">
      <alignment horizontal="general" vertical="top" textRotation="0" wrapText="false" indent="0" shrinkToFit="false"/>
      <protection locked="true" hidden="false"/>
    </xf>
    <xf numFmtId="164" fontId="0" fillId="28" borderId="14" xfId="0" applyFont="true" applyBorder="true" applyAlignment="true" applyProtection="true">
      <alignment horizontal="general" vertical="top" textRotation="0" wrapText="false" indent="0" shrinkToFit="false"/>
      <protection locked="true" hidden="false"/>
    </xf>
    <xf numFmtId="164" fontId="0" fillId="29" borderId="27" xfId="0" applyFont="true" applyBorder="true" applyAlignment="true" applyProtection="true">
      <alignment horizontal="general" vertical="top" textRotation="0" wrapText="false" indent="0" shrinkToFit="false"/>
      <protection locked="true" hidden="false"/>
    </xf>
    <xf numFmtId="164" fontId="0" fillId="30" borderId="15" xfId="0" applyFont="true" applyBorder="true" applyAlignment="true" applyProtection="true">
      <alignment horizontal="general" vertical="top" textRotation="0" wrapText="false" indent="0" shrinkToFit="false"/>
      <protection locked="true" hidden="false"/>
    </xf>
    <xf numFmtId="164" fontId="0" fillId="30" borderId="14" xfId="0" applyFont="true" applyBorder="true" applyAlignment="true" applyProtection="true">
      <alignment horizontal="general" vertical="top" textRotation="0" wrapText="false" indent="0" shrinkToFit="false"/>
      <protection locked="true" hidden="false"/>
    </xf>
    <xf numFmtId="164" fontId="0" fillId="29" borderId="14" xfId="0" applyFont="true" applyBorder="true" applyAlignment="true" applyProtection="true">
      <alignment horizontal="general" vertical="top" textRotation="0" wrapText="false" indent="0" shrinkToFit="false"/>
      <protection locked="true" hidden="false"/>
    </xf>
    <xf numFmtId="164" fontId="0" fillId="7" borderId="0" xfId="77" applyFont="true" applyBorder="true" applyAlignment="true" applyProtection="true">
      <alignment horizontal="general" vertical="top" textRotation="0" wrapText="false" indent="0" shrinkToFit="false"/>
      <protection locked="true" hidden="false"/>
    </xf>
    <xf numFmtId="165" fontId="19" fillId="0" borderId="0" xfId="0" applyFont="true" applyBorder="true" applyAlignment="true" applyProtection="true">
      <alignment horizontal="general" vertical="bottom" textRotation="0" wrapText="false" indent="0" shrinkToFit="false"/>
      <protection locked="true" hidden="false"/>
    </xf>
    <xf numFmtId="165" fontId="0" fillId="0" borderId="0" xfId="0" applyFont="true" applyBorder="true" applyAlignment="true" applyProtection="true">
      <alignment horizontal="general" vertical="bottom" textRotation="0" wrapText="false" indent="0" shrinkToFit="false"/>
      <protection locked="true" hidden="false"/>
    </xf>
    <xf numFmtId="164" fontId="7" fillId="12" borderId="47" xfId="0" applyFont="true" applyBorder="true" applyAlignment="true" applyProtection="true">
      <alignment horizontal="center" vertical="top" textRotation="0" wrapText="false" indent="0" shrinkToFit="false"/>
      <protection locked="true" hidden="false"/>
    </xf>
    <xf numFmtId="164" fontId="104" fillId="0" borderId="9" xfId="0" applyFont="true" applyBorder="true" applyAlignment="true" applyProtection="true">
      <alignment horizontal="general" vertical="top" textRotation="0" wrapText="true" indent="0" shrinkToFit="false"/>
      <protection locked="true" hidden="false"/>
    </xf>
    <xf numFmtId="165" fontId="0" fillId="0" borderId="9" xfId="0" applyFont="true" applyBorder="true" applyAlignment="true" applyProtection="true">
      <alignment horizontal="general" vertical="top" textRotation="0" wrapText="true" indent="0" shrinkToFit="false"/>
      <protection locked="true" hidden="false"/>
    </xf>
    <xf numFmtId="165" fontId="6" fillId="0" borderId="62" xfId="0" applyFont="true" applyBorder="true" applyAlignment="true" applyProtection="true">
      <alignment horizontal="general" vertical="top" textRotation="0" wrapText="true" indent="0" shrinkToFit="false"/>
      <protection locked="true" hidden="false"/>
    </xf>
    <xf numFmtId="165" fontId="0" fillId="0" borderId="14" xfId="0" applyFont="true" applyBorder="true" applyAlignment="true" applyProtection="true">
      <alignment horizontal="general" vertical="top" textRotation="0" wrapText="true" indent="0" shrinkToFit="false"/>
      <protection locked="true" hidden="false"/>
    </xf>
    <xf numFmtId="164" fontId="0" fillId="0" borderId="27" xfId="0" applyFont="true" applyBorder="true" applyAlignment="true" applyProtection="true">
      <alignment horizontal="general" vertical="top" textRotation="0" wrapText="false" indent="0" shrinkToFit="false"/>
      <protection locked="true" hidden="false"/>
    </xf>
    <xf numFmtId="165" fontId="18" fillId="0" borderId="9" xfId="0" applyFont="true" applyBorder="true" applyAlignment="true" applyProtection="true">
      <alignment horizontal="general" vertical="center" textRotation="0" wrapText="true" indent="0" shrinkToFit="false"/>
      <protection locked="true" hidden="false"/>
    </xf>
    <xf numFmtId="165" fontId="6" fillId="0" borderId="0" xfId="0" applyFont="true" applyBorder="true" applyAlignment="true" applyProtection="true">
      <alignment horizontal="general" vertical="top" textRotation="0" wrapText="true" indent="0" shrinkToFit="false"/>
      <protection locked="true" hidden="false"/>
    </xf>
    <xf numFmtId="165" fontId="7" fillId="0" borderId="9" xfId="0" applyFont="true" applyBorder="true" applyAlignment="true" applyProtection="true">
      <alignment horizontal="general" vertical="center" textRotation="0" wrapText="true" indent="0" shrinkToFit="false"/>
      <protection locked="true" hidden="false"/>
    </xf>
  </cellXfs>
  <cellStyles count="68">
    <cellStyle name="Normal" xfId="0" builtinId="0"/>
    <cellStyle name="Comma" xfId="15" builtinId="3"/>
    <cellStyle name="Comma [0]" xfId="16" builtinId="6"/>
    <cellStyle name="Currency" xfId="17" builtinId="4"/>
    <cellStyle name="Currency [0]" xfId="18" builtinId="7"/>
    <cellStyle name="Percent" xfId="19" builtinId="5"/>
    <cellStyle name=" 1" xfId="20"/>
    <cellStyle name=" 1 2" xfId="21"/>
    <cellStyle name=" 1_Stage1" xfId="22"/>
    <cellStyle name="_Model_RAB Мой_PR.PROG.WARM.NOTCOMBI.2012.2.16_v1.4(04.04.11) " xfId="23"/>
    <cellStyle name="_Model_RAB Мой_Книга2_PR.PROG.WARM.NOTCOMBI.2012.2.16_v1.4(04.04.11) " xfId="24"/>
    <cellStyle name="_Model_RAB_MRSK_svod_PR.PROG.WARM.NOTCOMBI.2012.2.16_v1.4(04.04.11) " xfId="25"/>
    <cellStyle name="_Model_RAB_MRSK_svod_Книга2_PR.PROG.WARM.NOTCOMBI.2012.2.16_v1.4(04.04.11) " xfId="26"/>
    <cellStyle name="_МОДЕЛЬ_1 (2)_PR.PROG.WARM.NOTCOMBI.2012.2.16_v1.4(04.04.11) " xfId="27"/>
    <cellStyle name="_МОДЕЛЬ_1 (2)_Книга2_PR.PROG.WARM.NOTCOMBI.2012.2.16_v1.4(04.04.11) " xfId="28"/>
    <cellStyle name="_Расчет RAB_22072008_PR.PROG.WARM.NOTCOMBI.2012.2.16_v1.4(04.04.11) " xfId="29"/>
    <cellStyle name="_Расчет RAB_22072008_Книга2_PR.PROG.WARM.NOTCOMBI.2012.2.16_v1.4(04.04.11) " xfId="30"/>
    <cellStyle name="_Расчет RAB_Лен и МОЭСК_с 2010 года_14.04.2009_со сглаж_version 3.0_без ФСК_PR.PROG.WARM.NOTCOMBI.2012.2.16_v1.4(04.04.11) " xfId="31"/>
    <cellStyle name="_Расчет RAB_Лен и МОЭСК_с 2010 года_14.04.2009_со сглаж_version 3.0_без ФСК_Книга2_PR.PROG.WARM.NOTCOMBI.2012.2.16_v1.4(04.04.11) " xfId="32"/>
    <cellStyle name="_пр 5 тариф RAB_PR.PROG.WARM.NOTCOMBI.2012.2.16_v1.4(04.04.11) " xfId="33"/>
    <cellStyle name="_пр 5 тариф RAB_Книга2_PR.PROG.WARM.NOTCOMBI.2012.2.16_v1.4(04.04.11) " xfId="34"/>
    <cellStyle name="Cells 2" xfId="35"/>
    <cellStyle name="currency1" xfId="36"/>
    <cellStyle name="Currency2" xfId="37"/>
    <cellStyle name="currency3" xfId="38"/>
    <cellStyle name="currency4" xfId="39"/>
    <cellStyle name="Followed Hyperlink" xfId="40"/>
    <cellStyle name="Header 3" xfId="41"/>
    <cellStyle name="normal" xfId="42"/>
    <cellStyle name="Normal1" xfId="43"/>
    <cellStyle name="Normal2" xfId="44"/>
    <cellStyle name="Percent1" xfId="45"/>
    <cellStyle name="Title 4" xfId="46"/>
    <cellStyle name="Ввод  2" xfId="47"/>
    <cellStyle name="Гиперссылка 2" xfId="48"/>
    <cellStyle name="Гиперссылка 2 2" xfId="49"/>
    <cellStyle name="Гиперссылка 3" xfId="50"/>
    <cellStyle name="Гиперссылка 4" xfId="51"/>
    <cellStyle name="Гиперссылка 5" xfId="52"/>
    <cellStyle name="ЗаголовокСтолбца" xfId="53"/>
    <cellStyle name="Значение" xfId="54"/>
    <cellStyle name="Обычный 10" xfId="55"/>
    <cellStyle name="Обычный 12" xfId="56"/>
    <cellStyle name="Обычный 12 2" xfId="57"/>
    <cellStyle name="Обычный 14" xfId="58"/>
    <cellStyle name="Обычный 14 2" xfId="59"/>
    <cellStyle name="Обычный 14 3" xfId="60"/>
    <cellStyle name="Обычный 14 4" xfId="61"/>
    <cellStyle name="Обычный 15" xfId="62"/>
    <cellStyle name="Обычный 2" xfId="63"/>
    <cellStyle name="Обычный 2 10 2" xfId="64"/>
    <cellStyle name="Обычный 2 2" xfId="65"/>
    <cellStyle name="Обычный 2 3" xfId="66"/>
    <cellStyle name="Обычный 2 4" xfId="67"/>
    <cellStyle name="Обычный 2 5" xfId="68"/>
    <cellStyle name="Обычный 20" xfId="69"/>
    <cellStyle name="Обычный 21" xfId="70"/>
    <cellStyle name="Обычный 22" xfId="71"/>
    <cellStyle name="Обычный 23" xfId="72"/>
    <cellStyle name="Обычный 3" xfId="73"/>
    <cellStyle name="Обычный 3 2" xfId="74"/>
    <cellStyle name="Обычный 3 3" xfId="75"/>
    <cellStyle name="Обычный 3 4" xfId="76"/>
    <cellStyle name="Обычный 4" xfId="77"/>
    <cellStyle name="Обычный 5" xfId="78"/>
    <cellStyle name="Обычный 6" xfId="79"/>
    <cellStyle name="Обычный 7" xfId="80"/>
    <cellStyle name="Обычный_BALANCE.WARM.2007YEAR(FACT)" xfId="81"/>
  </cellStyles>
  <dxfs count="2">
    <dxf>
      <fill>
        <patternFill patternType="solid">
          <fgColor rgb="00FFFFFF"/>
        </patternFill>
      </fill>
    </dxf>
    <dxf>
      <fill>
        <patternFill patternType="solid">
          <fgColor rgb="FF000000"/>
          <bgColor rgb="FFFFFFFF"/>
        </patternFill>
      </fill>
    </dxf>
  </dxfs>
  <colors>
    <indexedColors>
      <rgbColor rgb="FF000000"/>
      <rgbColor rgb="FFFFFFFF"/>
      <rgbColor rgb="FFFF0000"/>
      <rgbColor rgb="FF00FF00"/>
      <rgbColor rgb="FF0000FF"/>
      <rgbColor rgb="FFFFFF00"/>
      <rgbColor rgb="FFFF00FF"/>
      <rgbColor rgb="FFD3DBDB"/>
      <rgbColor rgb="FFCC0000"/>
      <rgbColor rgb="FF008000"/>
      <rgbColor rgb="FF000080"/>
      <rgbColor rgb="FF808000"/>
      <rgbColor rgb="FF800080"/>
      <rgbColor rgb="FF0070C0"/>
      <rgbColor rgb="FFC0C0C0"/>
      <rgbColor rgb="FF808080"/>
      <rgbColor rgb="FF8DB4E2"/>
      <rgbColor rgb="FFE6E0EC"/>
      <rgbColor rgb="FFFFFFC0"/>
      <rgbColor rgb="FFE3FAFD"/>
      <rgbColor rgb="FF660066"/>
      <rgbColor rgb="FFE26B0A"/>
      <rgbColor rgb="FF0066CC"/>
      <rgbColor rgb="FFCCCCFF"/>
      <rgbColor rgb="FF000080"/>
      <rgbColor rgb="FFFF00FF"/>
      <rgbColor rgb="FFF2DCDB"/>
      <rgbColor rgb="FFD9D9D9"/>
      <rgbColor rgb="FF800080"/>
      <rgbColor rgb="FF800000"/>
      <rgbColor rgb="FFF0F0F0"/>
      <rgbColor rgb="FF0000FF"/>
      <rgbColor rgb="FFB7E4FF"/>
      <rgbColor rgb="FFEDF9FF"/>
      <rgbColor rgb="FFD7EAD3"/>
      <rgbColor rgb="FFFFFF99"/>
      <rgbColor rgb="FF8EB4E3"/>
      <rgbColor rgb="FFFFB7B7"/>
      <rgbColor rgb="FFCC99FF"/>
      <rgbColor rgb="FFFFCC99"/>
      <rgbColor rgb="FFBFBFBF"/>
      <rgbColor rgb="FFBCBCBC"/>
      <rgbColor rgb="FFC3D69B"/>
      <rgbColor rgb="FFDDD9C3"/>
      <rgbColor rgb="FFFF9900"/>
      <rgbColor rgb="FFE46C0A"/>
      <rgbColor rgb="FF999999"/>
      <rgbColor rgb="FF969696"/>
      <rgbColor rgb="FF003366"/>
      <rgbColor rgb="FFA6A6A6"/>
      <rgbColor rgb="FF003300"/>
      <rgbColor rgb="FF333300"/>
      <rgbColor rgb="FF993300"/>
      <rgbColor rgb="FFEAEBEE"/>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1.jpeg"/><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6.png"/>
</Relationships>
</file>

<file path=xl/drawings/_rels/drawing6.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104760</xdr:colOff>
      <xdr:row>9</xdr:row>
      <xdr:rowOff>0</xdr:rowOff>
    </xdr:from>
    <xdr:to>
      <xdr:col>4</xdr:col>
      <xdr:colOff>314280</xdr:colOff>
      <xdr:row>16</xdr:row>
      <xdr:rowOff>171360</xdr:rowOff>
    </xdr:to>
    <xdr:pic>
      <xdr:nvPicPr>
        <xdr:cNvPr id="0" name="PHONE_PIC" descr="update_org.png"/>
        <xdr:cNvPicPr/>
      </xdr:nvPicPr>
      <xdr:blipFill>
        <a:blip r:embed="rId1"/>
        <a:stretch/>
      </xdr:blipFill>
      <xdr:spPr>
        <a:xfrm>
          <a:off x="340200" y="1352520"/>
          <a:ext cx="318240" cy="895320"/>
        </a:xfrm>
        <a:prstGeom prst="rect">
          <a:avLst/>
        </a:prstGeom>
        <a:ln w="0">
          <a:noFill/>
        </a:ln>
      </xdr:spPr>
    </xdr:pic>
    <xdr:clientData/>
  </xdr:twoCellAnchor>
  <xdr:twoCellAnchor editAs="absolute">
    <xdr:from>
      <xdr:col>3</xdr:col>
      <xdr:colOff>104760</xdr:colOff>
      <xdr:row>10</xdr:row>
      <xdr:rowOff>0</xdr:rowOff>
    </xdr:from>
    <xdr:to>
      <xdr:col>4</xdr:col>
      <xdr:colOff>314280</xdr:colOff>
      <xdr:row>23</xdr:row>
      <xdr:rowOff>247680</xdr:rowOff>
    </xdr:to>
    <xdr:pic>
      <xdr:nvPicPr>
        <xdr:cNvPr id="1" name="PHONE_PIC_1" descr="update_org.png"/>
        <xdr:cNvPicPr/>
      </xdr:nvPicPr>
      <xdr:blipFill>
        <a:blip r:embed="rId2"/>
        <a:stretch/>
      </xdr:blipFill>
      <xdr:spPr>
        <a:xfrm>
          <a:off x="340200" y="1428840"/>
          <a:ext cx="318240" cy="2209680"/>
        </a:xfrm>
        <a:prstGeom prst="rect">
          <a:avLst/>
        </a:prstGeom>
        <a:ln w="0">
          <a:noFill/>
        </a:ln>
      </xdr:spPr>
    </xdr:pic>
    <xdr:clientData/>
  </xdr:twoCellAnchor>
  <xdr:twoCellAnchor editAs="absolute">
    <xdr:from>
      <xdr:col>8</xdr:col>
      <xdr:colOff>0</xdr:colOff>
      <xdr:row>4</xdr:row>
      <xdr:rowOff>0</xdr:rowOff>
    </xdr:from>
    <xdr:to>
      <xdr:col>8</xdr:col>
      <xdr:colOff>218880</xdr:colOff>
      <xdr:row>4</xdr:row>
      <xdr:rowOff>218880</xdr:rowOff>
    </xdr:to>
    <xdr:pic>
      <xdr:nvPicPr>
        <xdr:cNvPr id="2" name="cmdCreatePrintedForm" descr="Создание печатной формы"/>
        <xdr:cNvPicPr/>
      </xdr:nvPicPr>
      <xdr:blipFill>
        <a:blip r:embed="rId3"/>
        <a:stretch/>
      </xdr:blipFill>
      <xdr:spPr>
        <a:xfrm>
          <a:off x="7455600" y="476280"/>
          <a:ext cx="218880" cy="218880"/>
        </a:xfrm>
        <a:prstGeom prst="rect">
          <a:avLst/>
        </a:prstGeom>
        <a:ln w="0">
          <a:noFill/>
        </a:ln>
      </xdr:spPr>
    </xdr:pic>
    <xdr:clientData/>
  </xdr:twoCellAnchor>
  <xdr:twoCellAnchor editAs="absolute">
    <xdr:from>
      <xdr:col>4</xdr:col>
      <xdr:colOff>0</xdr:colOff>
      <xdr:row>30</xdr:row>
      <xdr:rowOff>0</xdr:rowOff>
    </xdr:from>
    <xdr:to>
      <xdr:col>4</xdr:col>
      <xdr:colOff>287640</xdr:colOff>
      <xdr:row>30</xdr:row>
      <xdr:rowOff>247320</xdr:rowOff>
    </xdr:to>
    <xdr:pic>
      <xdr:nvPicPr>
        <xdr:cNvPr id="3" name="UPDATE_PLAN1X_DATA" descr="update_org.png"/>
        <xdr:cNvPicPr/>
      </xdr:nvPicPr>
      <xdr:blipFill>
        <a:blip r:embed="rId4"/>
        <a:stretch/>
      </xdr:blipFill>
      <xdr:spPr>
        <a:xfrm>
          <a:off x="344160" y="3714840"/>
          <a:ext cx="287640" cy="247320"/>
        </a:xfrm>
        <a:prstGeom prst="rect">
          <a:avLst/>
        </a:prstGeom>
        <a:ln w="0">
          <a:noFill/>
        </a:ln>
      </xdr:spPr>
    </xdr:pic>
    <xdr:clientData/>
  </xdr:twoCellAnchor>
  <xdr:twoCellAnchor editAs="absolute">
    <xdr:from>
      <xdr:col>3</xdr:col>
      <xdr:colOff>104760</xdr:colOff>
      <xdr:row>65</xdr:row>
      <xdr:rowOff>76320</xdr:rowOff>
    </xdr:from>
    <xdr:to>
      <xdr:col>4</xdr:col>
      <xdr:colOff>312120</xdr:colOff>
      <xdr:row>65</xdr:row>
      <xdr:rowOff>399960</xdr:rowOff>
    </xdr:to>
    <xdr:pic>
      <xdr:nvPicPr>
        <xdr:cNvPr id="4" name="PHONE_PIC_2" descr="update_org.png"/>
        <xdr:cNvPicPr/>
      </xdr:nvPicPr>
      <xdr:blipFill>
        <a:blip r:embed="rId5"/>
        <a:stretch/>
      </xdr:blipFill>
      <xdr:spPr>
        <a:xfrm>
          <a:off x="340200" y="6467760"/>
          <a:ext cx="31608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218880</xdr:colOff>
      <xdr:row>8</xdr:row>
      <xdr:rowOff>218880</xdr:rowOff>
    </xdr:to>
    <xdr:pic>
      <xdr:nvPicPr>
        <xdr:cNvPr id="5" name="ExcludeHelp_2" descr="Справка по листу"/>
        <xdr:cNvPicPr/>
      </xdr:nvPicPr>
      <xdr:blipFill>
        <a:blip r:embed="rId1"/>
        <a:stretch/>
      </xdr:blipFill>
      <xdr:spPr>
        <a:xfrm>
          <a:off x="870120" y="723960"/>
          <a:ext cx="218880" cy="21888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6" name="Рисунок 1" descr=""/>
        <xdr:cNvPicPr/>
      </xdr:nvPicPr>
      <xdr:blipFill>
        <a:blip r:embed="rId2"/>
        <a:stretch/>
      </xdr:blipFill>
      <xdr:spPr>
        <a:xfrm>
          <a:off x="585720" y="542880"/>
          <a:ext cx="30312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7" name="Рисунок 8" descr=""/>
        <xdr:cNvPicPr/>
      </xdr:nvPicPr>
      <xdr:blipFill>
        <a:blip r:embed="rId1"/>
        <a:stretch/>
      </xdr:blipFill>
      <xdr:spPr>
        <a:xfrm>
          <a:off x="308880" y="847800"/>
          <a:ext cx="35352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235080</xdr:colOff>
      <xdr:row>13</xdr:row>
      <xdr:rowOff>247320</xdr:rowOff>
    </xdr:to>
    <xdr:pic>
      <xdr:nvPicPr>
        <xdr:cNvPr id="8" name="UNFREEZE_PANES" descr="update_org.png"/>
        <xdr:cNvPicPr/>
      </xdr:nvPicPr>
      <xdr:blipFill>
        <a:blip r:embed="rId1"/>
        <a:stretch/>
      </xdr:blipFill>
      <xdr:spPr>
        <a:xfrm>
          <a:off x="0" y="181080"/>
          <a:ext cx="235080" cy="24732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235080</xdr:colOff>
      <xdr:row>13</xdr:row>
      <xdr:rowOff>171000</xdr:rowOff>
    </xdr:to>
    <xdr:pic>
      <xdr:nvPicPr>
        <xdr:cNvPr id="9" name="UNFREEZE_PANES" descr="update_org.png"/>
        <xdr:cNvPicPr/>
      </xdr:nvPicPr>
      <xdr:blipFill>
        <a:blip r:embed="rId1"/>
        <a:stretch/>
      </xdr:blipFill>
      <xdr:spPr>
        <a:xfrm>
          <a:off x="0" y="76320"/>
          <a:ext cx="235080" cy="17100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235080</xdr:colOff>
      <xdr:row>4</xdr:row>
      <xdr:rowOff>247320</xdr:rowOff>
    </xdr:to>
    <xdr:pic>
      <xdr:nvPicPr>
        <xdr:cNvPr id="10" name="UNFREEZE_PANES" descr="update_org.png"/>
        <xdr:cNvPicPr/>
      </xdr:nvPicPr>
      <xdr:blipFill>
        <a:blip r:embed="rId1"/>
        <a:stretch/>
      </xdr:blipFill>
      <xdr:spPr>
        <a:xfrm>
          <a:off x="0" y="76320"/>
          <a:ext cx="235080" cy="247320"/>
        </a:xfrm>
        <a:prstGeom prst="rect">
          <a:avLst/>
        </a:prstGeom>
        <a:ln w="0">
          <a:noFill/>
        </a:ln>
      </xdr:spPr>
    </xdr:pic>
    <xdr:clientData/>
  </xdr:twoCellAnchor>
</xdr:wsDr>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mailto:u1577@gpte76.ru" TargetMode="External"/><Relationship Id="rId3" Type="http://schemas.openxmlformats.org/officeDocument/2006/relationships/drawing" Target="../drawings/drawing1.xml"/><Relationship Id="rId4"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45.xml.rels><?xml version="1.0" encoding="UTF-8"?>
<Relationships xmlns="http://schemas.openxmlformats.org/package/2006/relationships"><Relationship Id="rId1" Type="http://schemas.openxmlformats.org/officeDocument/2006/relationships/drawing" Target="../drawings/drawing4.xml"/>
</Relationships>
</file>

<file path=xl/worksheets/_rels/sheet46.xml.rels><?xml version="1.0" encoding="UTF-8"?>
<Relationships xmlns="http://schemas.openxmlformats.org/package/2006/relationships"><Relationship Id="rId1" Type="http://schemas.openxmlformats.org/officeDocument/2006/relationships/drawing" Target="../drawings/drawing5.xml"/>
</Relationships>
</file>

<file path=xl/worksheets/_rels/sheet47.xml.rels><?xml version="1.0" encoding="UTF-8"?>
<Relationships xmlns="http://schemas.openxmlformats.org/package/2006/relationships"><Relationship Id="rId1" Type="http://schemas.openxmlformats.org/officeDocument/2006/relationships/drawing" Target="../drawings/drawing6.xml"/>
</Relationships>
</file>

<file path=xl/worksheets/_rels/sheet49.xml.rels><?xml version="1.0" encoding="UTF-8"?>
<Relationships xmlns="http://schemas.openxmlformats.org/package/2006/relationships"><Relationship Id="rId1" Type="http://schemas.openxmlformats.org/officeDocument/2006/relationships/comments" Target="../comments49.xml"/><Relationship Id="rId2" Type="http://schemas.openxmlformats.org/officeDocument/2006/relationships/vmlDrawing" Target="../drawings/vmlDrawing2.vml"/>
</Relationships>
</file>

<file path=xl/worksheets/_rels/sheet61.xml.rels><?xml version="1.0" encoding="UTF-8"?>
<Relationships xmlns="http://schemas.openxmlformats.org/package/2006/relationships"><Relationship Id="rId1" Type="http://schemas.openxmlformats.org/officeDocument/2006/relationships/comments" Target="../comments61.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2"/>
    <col collapsed="false" customWidth="true" hidden="false" outlineLevel="0" max="2" min="2" style="1" width="9.14"/>
    <col collapsed="false" customWidth="true" hidden="false" outlineLevel="0" max="3" min="3" style="1" width="16.42"/>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P7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F72" activeCellId="0" sqref="F72"/>
    </sheetView>
  </sheetViews>
  <sheetFormatPr defaultColWidth="9.1445312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71"/>
    <col collapsed="false" customWidth="true" hidden="false" outlineLevel="0" max="4" min="4" style="42" width="1.71"/>
    <col collapsed="false" customWidth="true" hidden="false" outlineLevel="0" max="5" min="5" style="42" width="55.28"/>
    <col collapsed="false" customWidth="true" hidden="false" outlineLevel="0" max="6" min="6" style="42" width="55"/>
    <col collapsed="false" customWidth="true" hidden="false" outlineLevel="0" max="7" min="7" style="43" width="1.71"/>
    <col collapsed="false" customWidth="true" hidden="true" outlineLevel="0" max="8" min="8" style="42" width="18"/>
    <col collapsed="false" customWidth="true" hidden="false" outlineLevel="0" max="9" min="9" style="44" width="59.71"/>
    <col collapsed="false" customWidth="true" hidden="true" outlineLevel="0" max="10" min="10" style="45" width="52.14"/>
    <col collapsed="false" customWidth="false" hidden="false" outlineLevel="0" max="11" min="11" style="42" width="9.14"/>
    <col collapsed="false" customWidth="true" hidden="false" outlineLevel="0" max="12" min="12" style="42" width="78"/>
    <col collapsed="false" customWidth="false" hidden="false" outlineLevel="0" max="16" min="13" style="42" width="9.14"/>
  </cols>
  <sheetData>
    <row r="1" s="47" customFormat="true" ht="3" hidden="false" customHeight="true" outlineLevel="0" collapsed="false">
      <c r="A1" s="39"/>
      <c r="B1" s="46"/>
      <c r="F1" s="47" t="n">
        <v>26354809</v>
      </c>
      <c r="G1" s="44"/>
      <c r="H1" s="45"/>
      <c r="I1" s="44"/>
    </row>
    <row r="2" s="45" customFormat="true" ht="14.25" hidden="false" customHeight="true" outlineLevel="0" collapsed="false">
      <c r="A2" s="39"/>
      <c r="B2" s="40"/>
      <c r="E2" s="48" t="str">
        <f aca="false">code</f>
        <v>Код отчёта: PP108.OPEN.INFO.PRICE.HOTVSNA.EIAS</v>
      </c>
      <c r="F2" s="49"/>
      <c r="G2" s="50"/>
      <c r="H2" s="50"/>
      <c r="I2" s="50"/>
      <c r="J2" s="51"/>
      <c r="K2" s="50"/>
    </row>
    <row r="3" customFormat="false" ht="14.25" hidden="false" customHeight="true" outlineLevel="0" collapsed="false">
      <c r="E3" s="52" t="str">
        <f aca="false">version</f>
        <v>Версия отчёта: 1.0.7</v>
      </c>
      <c r="F3" s="49"/>
      <c r="G3" s="53"/>
      <c r="H3" s="53"/>
      <c r="I3" s="53"/>
      <c r="J3" s="54"/>
      <c r="K3" s="53"/>
    </row>
    <row r="4" s="58" customFormat="true" ht="6" hidden="false" customHeight="true" outlineLevel="0" collapsed="false">
      <c r="A4" s="39"/>
      <c r="B4" s="55"/>
      <c r="C4" s="56"/>
      <c r="D4" s="57"/>
      <c r="F4" s="59"/>
      <c r="G4" s="43"/>
      <c r="H4" s="42"/>
      <c r="I4" s="44"/>
      <c r="J4" s="60"/>
    </row>
    <row r="5" customFormat="false" ht="37.5" hidden="false" customHeight="true" outlineLevel="0" collapsed="false">
      <c r="D5" s="61"/>
      <c r="E5" s="62" t="str">
        <f aca="false">NameTemplatesInTitle</f>
        <v>Показатели, подлежащие раскрытию в сфере горячего водоснабжения (цены и тарифы)</v>
      </c>
      <c r="F5" s="62"/>
      <c r="G5" s="63"/>
      <c r="J5" s="64"/>
    </row>
    <row r="6" s="58" customFormat="true" ht="6" hidden="false" customHeight="true" outlineLevel="0" collapsed="false">
      <c r="A6" s="39"/>
      <c r="B6" s="55"/>
      <c r="C6" s="56"/>
      <c r="D6" s="57"/>
      <c r="E6" s="65"/>
      <c r="F6" s="66"/>
      <c r="G6" s="63"/>
      <c r="H6" s="42"/>
      <c r="I6" s="44"/>
      <c r="J6" s="60"/>
    </row>
    <row r="7" customFormat="false" ht="19.5" hidden="false" customHeight="true" outlineLevel="0" collapsed="false">
      <c r="D7" s="61"/>
      <c r="E7" s="67" t="s">
        <v>13</v>
      </c>
      <c r="F7" s="68" t="s">
        <v>14</v>
      </c>
      <c r="G7" s="63"/>
    </row>
    <row r="8" s="58" customFormat="true" ht="6" hidden="false" customHeight="true" outlineLevel="0" collapsed="false">
      <c r="A8" s="69"/>
      <c r="B8" s="55"/>
      <c r="C8" s="56"/>
      <c r="D8" s="70"/>
      <c r="E8" s="65"/>
      <c r="F8" s="71"/>
      <c r="G8" s="72"/>
      <c r="H8" s="42"/>
      <c r="I8" s="44"/>
      <c r="J8" s="73"/>
    </row>
    <row r="9" s="42" customFormat="true" ht="19.5" hidden="true" customHeight="true" outlineLevel="0" collapsed="false">
      <c r="A9" s="39"/>
      <c r="B9" s="40"/>
      <c r="C9" s="41"/>
      <c r="D9" s="61"/>
      <c r="E9" s="67" t="s">
        <v>15</v>
      </c>
      <c r="F9" s="74"/>
      <c r="G9" s="63"/>
      <c r="I9" s="75" t="str">
        <f aca="false">IF(TITLE_STRUCTURE_INFO_ROIV="","","раскрывается "&amp;INDEX(ROIV_INFO_COMMENT,MATCH(TITLE_STRUCTURE_INFO_ROIV,ROIV_INFO_LIST,0)))</f>
        <v/>
      </c>
      <c r="J9" s="45"/>
    </row>
    <row r="10" s="58" customFormat="true" ht="6" hidden="false" customHeight="true" outlineLevel="0" collapsed="false">
      <c r="A10" s="69"/>
      <c r="B10" s="55"/>
      <c r="C10" s="56"/>
      <c r="D10" s="70"/>
      <c r="E10" s="65"/>
      <c r="F10" s="71"/>
      <c r="G10" s="72"/>
      <c r="H10" s="42"/>
      <c r="I10" s="44"/>
      <c r="J10" s="73"/>
    </row>
    <row r="11" customFormat="false" ht="22.5" hidden="false" customHeight="true" outlineLevel="0" collapsed="false">
      <c r="A11" s="76" t="s">
        <v>16</v>
      </c>
      <c r="D11" s="61"/>
      <c r="E11" s="67" t="s">
        <v>17</v>
      </c>
      <c r="F11" s="77" t="n">
        <v>45292.4640046296</v>
      </c>
      <c r="G11" s="72"/>
      <c r="H11" s="78" t="s">
        <v>18</v>
      </c>
      <c r="J11" s="45" t="s">
        <v>19</v>
      </c>
    </row>
    <row r="12" customFormat="false" ht="22.5" hidden="false" customHeight="true" outlineLevel="0" collapsed="false">
      <c r="A12" s="76"/>
      <c r="D12" s="61"/>
      <c r="E12" s="67" t="s">
        <v>20</v>
      </c>
      <c r="F12" s="77" t="n">
        <v>47118.4640625</v>
      </c>
      <c r="G12" s="79"/>
      <c r="J12" s="45" t="s">
        <v>21</v>
      </c>
    </row>
    <row r="13" s="42" customFormat="true" ht="22.5" hidden="true" customHeight="true" outlineLevel="0" collapsed="false">
      <c r="A13" s="80" t="s">
        <v>22</v>
      </c>
      <c r="B13" s="40"/>
      <c r="C13" s="41"/>
      <c r="D13" s="61"/>
      <c r="E13" s="81" t="s">
        <v>23</v>
      </c>
      <c r="F13" s="77"/>
      <c r="G13" s="72"/>
      <c r="H13" s="53"/>
      <c r="I13" s="44"/>
      <c r="J13" s="51" t="s">
        <v>24</v>
      </c>
    </row>
    <row r="14" s="42" customFormat="true" ht="27" hidden="true" customHeight="true" outlineLevel="0" collapsed="false">
      <c r="A14" s="80" t="s">
        <v>25</v>
      </c>
      <c r="B14" s="40"/>
      <c r="C14" s="41"/>
      <c r="D14" s="61"/>
      <c r="E14" s="67" t="s">
        <v>26</v>
      </c>
      <c r="F14" s="82"/>
      <c r="G14" s="72"/>
      <c r="H14" s="53"/>
      <c r="I14" s="44"/>
      <c r="J14" s="45" t="s">
        <v>27</v>
      </c>
    </row>
    <row r="15" s="42" customFormat="true" ht="19.5" hidden="true" customHeight="true" outlineLevel="0" collapsed="false">
      <c r="A15" s="80" t="s">
        <v>28</v>
      </c>
      <c r="B15" s="40"/>
      <c r="C15" s="41"/>
      <c r="D15" s="61"/>
      <c r="E15" s="67" t="s">
        <v>29</v>
      </c>
      <c r="F15" s="82"/>
      <c r="G15" s="72"/>
      <c r="H15" s="53"/>
      <c r="I15" s="44"/>
      <c r="J15" s="45" t="s">
        <v>30</v>
      </c>
    </row>
    <row r="16" s="58" customFormat="true" ht="6" hidden="false" customHeight="true" outlineLevel="0" collapsed="false">
      <c r="A16" s="69"/>
      <c r="B16" s="55"/>
      <c r="C16" s="56"/>
      <c r="D16" s="70"/>
      <c r="E16" s="65"/>
      <c r="F16" s="71"/>
      <c r="G16" s="72"/>
      <c r="H16" s="42"/>
      <c r="I16" s="44"/>
      <c r="J16" s="60"/>
    </row>
    <row r="17" customFormat="false" ht="19.5" hidden="false" customHeight="true" outlineLevel="0" collapsed="false">
      <c r="D17" s="61"/>
      <c r="E17" s="67" t="s">
        <v>31</v>
      </c>
      <c r="F17" s="83" t="s">
        <v>32</v>
      </c>
      <c r="G17" s="79"/>
      <c r="H17" s="78" t="s">
        <v>18</v>
      </c>
    </row>
    <row r="18" customFormat="false" ht="25.5" hidden="true" customHeight="true" outlineLevel="0" collapsed="false">
      <c r="D18" s="61"/>
      <c r="E18" s="81" t="s">
        <v>33</v>
      </c>
      <c r="F18" s="84"/>
      <c r="G18" s="79"/>
      <c r="I18" s="85"/>
      <c r="J18" s="86" t="s">
        <v>34</v>
      </c>
    </row>
    <row r="19" customFormat="false" ht="25.5" hidden="true" customHeight="true" outlineLevel="0" collapsed="false">
      <c r="D19" s="61"/>
      <c r="E19" s="67" t="str">
        <f aca="false">"Дата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84"/>
      <c r="G19" s="79"/>
      <c r="I19" s="85"/>
      <c r="J19" s="86"/>
    </row>
    <row r="20" customFormat="false" ht="22.5" hidden="false" customHeight="true" outlineLevel="0" collapsed="false">
      <c r="D20" s="61"/>
      <c r="E20" s="87"/>
      <c r="F20" s="43" t="str">
        <f aca="false">"Первичное "&amp;IF(TEMPLATE_GROUP="P","установление тарифов","предложение по тарифам")</f>
        <v>Первичное установление тарифов</v>
      </c>
      <c r="G20" s="79"/>
      <c r="I20" s="72"/>
      <c r="J20" s="64" t="s">
        <v>35</v>
      </c>
    </row>
    <row r="21" customFormat="false" ht="19.5" hidden="false" customHeight="true" outlineLevel="0" collapsed="false">
      <c r="D21" s="61"/>
      <c r="E21" s="67" t="str">
        <f aca="false">"Дата "&amp;IF(TEMPLATE_GROUP="P","документа","подачи заявления")&amp;" об утверждении тарифов"</f>
        <v>Дата документа об утверждении тарифов</v>
      </c>
      <c r="F21" s="77" t="n">
        <v>45279.4646064815</v>
      </c>
      <c r="G21" s="79"/>
      <c r="I21" s="88"/>
    </row>
    <row r="22" customFormat="false" ht="19.5" hidden="false" customHeight="true" outlineLevel="0" collapsed="false">
      <c r="D22" s="61"/>
      <c r="E22" s="67" t="str">
        <f aca="false">"Номер "&amp;IF(TEMPLATE_GROUP="P","документа","подачи заявления")&amp;" об утверждении тарифов"</f>
        <v>Номер документа об утверждении тарифов</v>
      </c>
      <c r="F22" s="83" t="s">
        <v>36</v>
      </c>
      <c r="G22" s="79"/>
      <c r="I22" s="88"/>
    </row>
    <row r="23" customFormat="false" ht="22.5" hidden="false" customHeight="true" outlineLevel="0" collapsed="false">
      <c r="D23" s="61"/>
      <c r="E23" s="67" t="s">
        <v>37</v>
      </c>
      <c r="F23" s="83" t="s">
        <v>38</v>
      </c>
      <c r="G23" s="79"/>
    </row>
    <row r="24" customFormat="false" ht="19.5" hidden="false" customHeight="true" outlineLevel="0" collapsed="false">
      <c r="D24" s="61"/>
      <c r="E24" s="67" t="s">
        <v>39</v>
      </c>
      <c r="F24" s="83" t="s">
        <v>40</v>
      </c>
      <c r="G24" s="79"/>
    </row>
    <row r="25" customFormat="false" ht="22.5" hidden="true" customHeight="true" outlineLevel="0" collapsed="false">
      <c r="D25" s="61"/>
      <c r="E25" s="87"/>
      <c r="F25" s="43" t="str">
        <f aca="false">"Изменение "&amp;IF(TEMPLATE_GROUP="P","тарифов","предложения по тарифам")</f>
        <v>Изменение тарифов</v>
      </c>
      <c r="G25" s="79"/>
      <c r="J25" s="64" t="s">
        <v>41</v>
      </c>
    </row>
    <row r="26" customFormat="false" ht="19.5" hidden="true" customHeight="true" outlineLevel="0" collapsed="false">
      <c r="D26" s="61"/>
      <c r="E26" s="67" t="str">
        <f aca="false">"Дата "&amp;IF(TEMPLATE_GROUP="P","принятия решения","подачи заявления")&amp;" об изменении тарифов"</f>
        <v>Дата принятия решения об изменении тарифов</v>
      </c>
      <c r="F26" s="84"/>
      <c r="G26" s="79"/>
    </row>
    <row r="27" customFormat="false" ht="19.5" hidden="true" customHeight="true" outlineLevel="0" collapsed="false">
      <c r="D27" s="61"/>
      <c r="E27" s="67" t="str">
        <f aca="false">"Номер "&amp;IF(TEMPLATE_GROUP="P","принятия решения","заявления")&amp;" об изменении тарифов"</f>
        <v>Номер принятия решения об изменении тарифов</v>
      </c>
      <c r="F27" s="89"/>
      <c r="G27" s="79"/>
    </row>
    <row r="28" customFormat="false" ht="24.75" hidden="true" customHeight="true" outlineLevel="0" collapsed="false">
      <c r="D28" s="61"/>
      <c r="E28" s="67" t="s">
        <v>42</v>
      </c>
      <c r="F28" s="89"/>
      <c r="G28" s="79"/>
    </row>
    <row r="29" customFormat="false" ht="19.5" hidden="true" customHeight="true" outlineLevel="0" collapsed="false">
      <c r="D29" s="61"/>
      <c r="E29" s="67" t="s">
        <v>39</v>
      </c>
      <c r="F29" s="89"/>
      <c r="G29" s="79"/>
    </row>
    <row r="30" s="58" customFormat="true" ht="6" hidden="false" customHeight="true" outlineLevel="0" collapsed="false">
      <c r="A30" s="69"/>
      <c r="B30" s="55"/>
      <c r="C30" s="56"/>
      <c r="D30" s="70"/>
      <c r="E30" s="65"/>
      <c r="F30" s="71"/>
      <c r="G30" s="72"/>
      <c r="H30" s="42"/>
      <c r="I30" s="44"/>
      <c r="J30" s="60"/>
    </row>
    <row r="31" customFormat="false" ht="19.5" hidden="false" customHeight="true" outlineLevel="0" collapsed="false">
      <c r="C31" s="90"/>
      <c r="D31" s="91"/>
      <c r="E31" s="67" t="str">
        <f aca="false">"Наименование "&amp;IF(TEMPLATE_GROUP="ROIV","органа тарифного регулирования","ЮЛ / ИП")</f>
        <v>Наименование ЮЛ / ИП</v>
      </c>
      <c r="F31" s="92" t="s">
        <v>43</v>
      </c>
      <c r="G31" s="93"/>
    </row>
    <row r="32" customFormat="false" ht="19.5" hidden="true" customHeight="true" outlineLevel="0" collapsed="false">
      <c r="C32" s="90"/>
      <c r="D32" s="91"/>
      <c r="E32" s="94" t="s">
        <v>44</v>
      </c>
      <c r="F32" s="92"/>
      <c r="G32" s="93"/>
    </row>
    <row r="33" customFormat="false" ht="19.5" hidden="false" customHeight="true" outlineLevel="0" collapsed="false">
      <c r="C33" s="90"/>
      <c r="D33" s="91"/>
      <c r="E33" s="67" t="s">
        <v>45</v>
      </c>
      <c r="F33" s="92" t="s">
        <v>46</v>
      </c>
      <c r="G33" s="93"/>
    </row>
    <row r="34" customFormat="false" ht="19.5" hidden="false" customHeight="true" outlineLevel="0" collapsed="false">
      <c r="C34" s="90"/>
      <c r="D34" s="91"/>
      <c r="E34" s="67" t="s">
        <v>47</v>
      </c>
      <c r="F34" s="92" t="s">
        <v>48</v>
      </c>
      <c r="G34" s="93"/>
      <c r="H34" s="95"/>
    </row>
    <row r="35" s="58" customFormat="true" ht="11.25" hidden="false" customHeight="true" outlineLevel="0" collapsed="false">
      <c r="A35" s="69"/>
      <c r="B35" s="55"/>
      <c r="C35" s="56"/>
      <c r="D35" s="70"/>
      <c r="E35" s="65"/>
      <c r="F35" s="71"/>
      <c r="G35" s="72"/>
      <c r="H35" s="42"/>
      <c r="I35" s="44"/>
      <c r="J35" s="60"/>
    </row>
    <row r="36" customFormat="false" ht="19.5" hidden="true" customHeight="true" outlineLevel="0" collapsed="false">
      <c r="A36" s="96"/>
      <c r="D36" s="91"/>
      <c r="E36" s="67" t="s">
        <v>49</v>
      </c>
      <c r="F36" s="97"/>
      <c r="G36" s="72"/>
    </row>
    <row r="37" customFormat="false" ht="19.5" hidden="false" customHeight="true" outlineLevel="0" collapsed="false">
      <c r="A37" s="96"/>
      <c r="D37" s="91"/>
      <c r="E37" s="67" t="s">
        <v>50</v>
      </c>
      <c r="F37" s="97" t="s">
        <v>51</v>
      </c>
      <c r="G37" s="72"/>
    </row>
    <row r="38" s="58" customFormat="true" ht="6" hidden="false" customHeight="true" outlineLevel="0" collapsed="false">
      <c r="A38" s="69"/>
      <c r="B38" s="55"/>
      <c r="C38" s="56"/>
      <c r="D38" s="57"/>
      <c r="E38" s="98"/>
      <c r="F38" s="99"/>
      <c r="G38" s="79"/>
      <c r="H38" s="42"/>
      <c r="I38" s="44"/>
      <c r="J38" s="45"/>
    </row>
    <row r="39" customFormat="false" ht="35.25" hidden="false" customHeight="true" outlineLevel="0" collapsed="false">
      <c r="A39" s="69"/>
      <c r="D39" s="61"/>
      <c r="E39" s="67" t="s">
        <v>52</v>
      </c>
      <c r="F39" s="100" t="s">
        <v>53</v>
      </c>
      <c r="G39" s="79"/>
      <c r="H39" s="78" t="s">
        <v>18</v>
      </c>
    </row>
    <row r="40" s="58" customFormat="true" ht="6" hidden="true" customHeight="true" outlineLevel="0" collapsed="false">
      <c r="A40" s="39"/>
      <c r="B40" s="55"/>
      <c r="C40" s="56"/>
      <c r="D40" s="57"/>
      <c r="E40" s="98"/>
      <c r="F40" s="99"/>
      <c r="G40" s="79"/>
      <c r="H40" s="42"/>
      <c r="I40" s="44"/>
      <c r="J40" s="45"/>
    </row>
    <row r="41" s="42" customFormat="true" ht="26.25" hidden="true" customHeight="true" outlineLevel="0" collapsed="false">
      <c r="A41" s="80" t="s">
        <v>22</v>
      </c>
      <c r="B41" s="40"/>
      <c r="C41" s="41"/>
      <c r="D41" s="61"/>
      <c r="E41" s="67" t="str">
        <f aca="false">"Дифференциация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100" t="s">
        <v>53</v>
      </c>
      <c r="G41" s="79"/>
      <c r="I41" s="44"/>
      <c r="J41" s="45"/>
    </row>
    <row r="42" s="58" customFormat="true" ht="6" hidden="true" customHeight="true" outlineLevel="0" collapsed="false">
      <c r="A42" s="39"/>
      <c r="B42" s="55"/>
      <c r="C42" s="56"/>
      <c r="D42" s="57"/>
      <c r="E42" s="98"/>
      <c r="F42" s="99"/>
      <c r="G42" s="79"/>
      <c r="H42" s="42"/>
      <c r="I42" s="44"/>
      <c r="J42" s="60"/>
    </row>
    <row r="43" s="42" customFormat="true" ht="27" hidden="true" customHeight="true" outlineLevel="0" collapsed="false">
      <c r="A43" s="39"/>
      <c r="B43" s="40"/>
      <c r="C43" s="41"/>
      <c r="D43" s="61"/>
      <c r="E43" s="67" t="s">
        <v>54</v>
      </c>
      <c r="F43" s="100" t="s">
        <v>53</v>
      </c>
      <c r="G43" s="79"/>
      <c r="I43" s="44"/>
      <c r="J43" s="45"/>
    </row>
    <row r="44" s="42" customFormat="true" ht="27" hidden="true" customHeight="true" outlineLevel="0" collapsed="false">
      <c r="A44" s="39"/>
      <c r="B44" s="40"/>
      <c r="C44" s="41"/>
      <c r="D44" s="61"/>
      <c r="E44" s="67" t="s">
        <v>55</v>
      </c>
      <c r="F44" s="101"/>
      <c r="G44" s="79"/>
      <c r="I44" s="44"/>
      <c r="J44" s="45"/>
    </row>
    <row r="45" s="58" customFormat="true" ht="6" hidden="true" customHeight="true" outlineLevel="0" collapsed="false">
      <c r="A45" s="39"/>
      <c r="B45" s="55"/>
      <c r="C45" s="56"/>
      <c r="D45" s="57"/>
      <c r="E45" s="98"/>
      <c r="F45" s="99"/>
      <c r="G45" s="79"/>
      <c r="H45" s="42"/>
      <c r="I45" s="44"/>
      <c r="J45" s="45"/>
    </row>
    <row r="46" s="58" customFormat="true" ht="24.75" hidden="true" customHeight="true" outlineLevel="0" collapsed="false">
      <c r="A46" s="39"/>
      <c r="B46" s="55"/>
      <c r="C46" s="56"/>
      <c r="D46" s="57"/>
      <c r="E46" s="67" t="s">
        <v>56</v>
      </c>
      <c r="F46" s="100" t="s">
        <v>53</v>
      </c>
      <c r="G46" s="79"/>
      <c r="H46" s="42"/>
      <c r="I46" s="44"/>
      <c r="J46" s="45"/>
    </row>
    <row r="47" s="42" customFormat="true" ht="24.75" hidden="true" customHeight="true" outlineLevel="0" collapsed="false">
      <c r="A47" s="39"/>
      <c r="B47" s="40"/>
      <c r="C47" s="41"/>
      <c r="D47" s="61"/>
      <c r="E47" s="67" t="s">
        <v>57</v>
      </c>
      <c r="F47" s="100" t="s">
        <v>53</v>
      </c>
      <c r="G47" s="79"/>
      <c r="I47" s="44"/>
      <c r="J47" s="45"/>
    </row>
    <row r="48" s="58" customFormat="true" ht="6" hidden="false" customHeight="true" outlineLevel="0" collapsed="false">
      <c r="A48" s="39"/>
      <c r="B48" s="55"/>
      <c r="C48" s="56"/>
      <c r="D48" s="57"/>
      <c r="E48" s="98"/>
      <c r="F48" s="99"/>
      <c r="G48" s="79"/>
      <c r="H48" s="42"/>
      <c r="I48" s="44"/>
      <c r="J48" s="45"/>
    </row>
    <row r="49" customFormat="false" ht="29.25" hidden="false" customHeight="true" outlineLevel="0" collapsed="false">
      <c r="D49" s="61"/>
      <c r="E49" s="67"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100" t="s">
        <v>53</v>
      </c>
      <c r="G49" s="79"/>
    </row>
    <row r="50" s="58" customFormat="true" ht="6" hidden="true" customHeight="true" outlineLevel="0" collapsed="false">
      <c r="A50" s="69"/>
      <c r="B50" s="55"/>
      <c r="C50" s="56"/>
      <c r="D50" s="70"/>
      <c r="E50" s="65"/>
      <c r="F50" s="71"/>
      <c r="G50" s="72"/>
      <c r="H50" s="42"/>
      <c r="I50" s="44"/>
      <c r="J50" s="45"/>
    </row>
    <row r="51" s="42" customFormat="true" ht="28.5" hidden="true" customHeight="true" outlineLevel="0" collapsed="false">
      <c r="A51" s="102"/>
      <c r="B51" s="40"/>
      <c r="C51" s="41"/>
      <c r="D51" s="44"/>
      <c r="E51" s="67" t="s">
        <v>58</v>
      </c>
      <c r="F51" s="100" t="s">
        <v>53</v>
      </c>
      <c r="G51" s="43"/>
      <c r="I51" s="44"/>
      <c r="J51" s="45"/>
      <c r="P51" s="103"/>
    </row>
    <row r="52" s="58" customFormat="true" ht="6" hidden="true" customHeight="true" outlineLevel="0" collapsed="false">
      <c r="A52" s="69"/>
      <c r="B52" s="55"/>
      <c r="C52" s="56"/>
      <c r="D52" s="70"/>
      <c r="E52" s="65"/>
      <c r="F52" s="71"/>
      <c r="G52" s="72"/>
      <c r="H52" s="42"/>
      <c r="I52" s="44"/>
      <c r="J52" s="60"/>
    </row>
    <row r="53" s="42" customFormat="true" ht="27" hidden="true" customHeight="true" outlineLevel="0" collapsed="false">
      <c r="A53" s="102"/>
      <c r="B53" s="40"/>
      <c r="C53" s="41"/>
      <c r="D53" s="44"/>
      <c r="E53" s="67" t="s">
        <v>59</v>
      </c>
      <c r="F53" s="104" t="s">
        <v>53</v>
      </c>
      <c r="G53" s="43"/>
      <c r="I53" s="44"/>
      <c r="J53" s="45"/>
      <c r="P53" s="103"/>
    </row>
    <row r="54" s="42" customFormat="true" ht="27" hidden="true" customHeight="true" outlineLevel="0" collapsed="false">
      <c r="A54" s="102"/>
      <c r="B54" s="40"/>
      <c r="C54" s="41"/>
      <c r="D54" s="44"/>
      <c r="E54" s="67" t="s">
        <v>60</v>
      </c>
      <c r="F54" s="105"/>
      <c r="G54" s="43"/>
      <c r="I54" s="44"/>
      <c r="J54" s="45"/>
      <c r="P54" s="103"/>
    </row>
    <row r="55" s="58" customFormat="true" ht="6" hidden="true" customHeight="true" outlineLevel="0" collapsed="false">
      <c r="A55" s="69"/>
      <c r="B55" s="55"/>
      <c r="C55" s="56"/>
      <c r="D55" s="70"/>
      <c r="E55" s="65"/>
      <c r="F55" s="71"/>
      <c r="G55" s="72"/>
      <c r="H55" s="42"/>
      <c r="I55" s="44"/>
      <c r="J55" s="60"/>
    </row>
    <row r="56" s="42" customFormat="true" ht="25.5" hidden="true" customHeight="true" outlineLevel="0" collapsed="false">
      <c r="A56" s="102"/>
      <c r="B56" s="40"/>
      <c r="C56" s="41"/>
      <c r="D56" s="44"/>
      <c r="E56" s="67" t="s">
        <v>61</v>
      </c>
      <c r="F56" s="104" t="s">
        <v>53</v>
      </c>
      <c r="G56" s="43"/>
      <c r="I56" s="44"/>
      <c r="J56" s="45"/>
      <c r="P56" s="103"/>
    </row>
    <row r="57" s="58" customFormat="true" ht="6" hidden="true" customHeight="true" outlineLevel="0" collapsed="false">
      <c r="A57" s="69"/>
      <c r="B57" s="55"/>
      <c r="C57" s="56"/>
      <c r="D57" s="70"/>
      <c r="E57" s="65"/>
      <c r="F57" s="71"/>
      <c r="G57" s="72"/>
      <c r="H57" s="42"/>
      <c r="I57" s="44"/>
      <c r="J57" s="60"/>
    </row>
    <row r="58" s="42" customFormat="true" ht="15" hidden="true" customHeight="true" outlineLevel="0" collapsed="false">
      <c r="A58" s="102"/>
      <c r="B58" s="40"/>
      <c r="C58" s="41"/>
      <c r="D58" s="44"/>
      <c r="E58" s="67" t="s">
        <v>62</v>
      </c>
      <c r="F58" s="104" t="s">
        <v>63</v>
      </c>
      <c r="G58" s="43"/>
      <c r="I58" s="44"/>
      <c r="J58" s="45"/>
      <c r="P58" s="103"/>
    </row>
    <row r="59" s="42" customFormat="true" ht="75" hidden="true" customHeight="true" outlineLevel="0" collapsed="false">
      <c r="A59" s="102"/>
      <c r="B59" s="40"/>
      <c r="C59" s="41"/>
      <c r="D59" s="44"/>
      <c r="E59" s="67"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4"/>
      <c r="G59" s="43"/>
      <c r="I59" s="44"/>
      <c r="J59" s="45"/>
      <c r="P59" s="103"/>
    </row>
    <row r="60" s="42" customFormat="true" ht="15" hidden="true" customHeight="true" outlineLevel="0" collapsed="false">
      <c r="A60" s="102"/>
      <c r="B60" s="40"/>
      <c r="C60" s="41"/>
      <c r="D60" s="44"/>
      <c r="E60" s="67" t="s">
        <v>64</v>
      </c>
      <c r="F60" s="97"/>
      <c r="G60" s="43"/>
      <c r="I60" s="44"/>
      <c r="J60" s="45"/>
      <c r="P60" s="103"/>
    </row>
    <row r="61" s="58" customFormat="true" ht="6" hidden="true" customHeight="true" outlineLevel="0" collapsed="false">
      <c r="A61" s="69"/>
      <c r="B61" s="55"/>
      <c r="C61" s="56"/>
      <c r="D61" s="57"/>
      <c r="E61" s="98"/>
      <c r="F61" s="99"/>
      <c r="G61" s="79"/>
      <c r="H61" s="42"/>
      <c r="I61" s="44"/>
      <c r="J61" s="45"/>
    </row>
    <row r="62" s="42" customFormat="true" ht="33.75" hidden="true" customHeight="true" outlineLevel="0" collapsed="false">
      <c r="A62" s="69"/>
      <c r="B62" s="40"/>
      <c r="C62" s="41"/>
      <c r="D62" s="61"/>
      <c r="E62" s="67" t="s">
        <v>65</v>
      </c>
      <c r="F62" s="100" t="s">
        <v>63</v>
      </c>
      <c r="G62" s="79"/>
      <c r="H62" s="78" t="s">
        <v>18</v>
      </c>
      <c r="I62" s="44"/>
      <c r="J62" s="45"/>
    </row>
    <row r="63" s="58" customFormat="true" ht="6" hidden="false" customHeight="true" outlineLevel="0" collapsed="false">
      <c r="A63" s="69"/>
      <c r="B63" s="55"/>
      <c r="C63" s="56"/>
      <c r="D63" s="70"/>
      <c r="E63" s="65"/>
      <c r="F63" s="71"/>
      <c r="G63" s="72"/>
      <c r="H63" s="42"/>
      <c r="I63" s="44"/>
      <c r="J63" s="60"/>
    </row>
    <row r="64" customFormat="false" ht="19.5" hidden="false" customHeight="true" outlineLevel="0" collapsed="false">
      <c r="B64" s="106"/>
      <c r="D64" s="107"/>
      <c r="E64" s="67" t="s">
        <v>66</v>
      </c>
      <c r="F64" s="83" t="s">
        <v>67</v>
      </c>
      <c r="G64" s="72"/>
    </row>
    <row r="65" customFormat="false" ht="19.5" hidden="false" customHeight="true" outlineLevel="0" collapsed="false">
      <c r="B65" s="106"/>
      <c r="D65" s="107"/>
      <c r="E65" s="67" t="s">
        <v>68</v>
      </c>
      <c r="F65" s="83" t="s">
        <v>69</v>
      </c>
      <c r="G65" s="72"/>
    </row>
    <row r="66" customFormat="false" ht="35.25" hidden="false" customHeight="true" outlineLevel="0" collapsed="false">
      <c r="D66" s="61"/>
      <c r="E66" s="108" t="s">
        <v>70</v>
      </c>
      <c r="F66" s="109"/>
      <c r="G66" s="79"/>
    </row>
    <row r="67" customFormat="false" ht="19.5" hidden="false" customHeight="true" outlineLevel="0" collapsed="false">
      <c r="D67" s="61"/>
      <c r="E67" s="67" t="s">
        <v>71</v>
      </c>
      <c r="F67" s="83" t="s">
        <v>72</v>
      </c>
      <c r="G67" s="72"/>
    </row>
    <row r="68" customFormat="false" ht="19.5" hidden="false" customHeight="true" outlineLevel="0" collapsed="false">
      <c r="B68" s="106"/>
      <c r="D68" s="107"/>
      <c r="E68" s="67" t="s">
        <v>73</v>
      </c>
      <c r="F68" s="83" t="s">
        <v>74</v>
      </c>
      <c r="G68" s="72"/>
    </row>
    <row r="69" customFormat="false" ht="19.5" hidden="false" customHeight="true" outlineLevel="0" collapsed="false">
      <c r="B69" s="106"/>
      <c r="D69" s="107"/>
      <c r="E69" s="67" t="s">
        <v>75</v>
      </c>
      <c r="F69" s="83" t="s">
        <v>76</v>
      </c>
      <c r="G69" s="72"/>
    </row>
    <row r="70" customFormat="false" ht="19.5" hidden="false" customHeight="true" outlineLevel="0" collapsed="false">
      <c r="D70" s="61"/>
      <c r="E70" s="67" t="s">
        <v>77</v>
      </c>
      <c r="F70" s="110" t="s">
        <v>78</v>
      </c>
      <c r="G70" s="79"/>
    </row>
    <row r="71" customFormat="false" ht="20.25" hidden="false" customHeight="true" outlineLevel="0" collapsed="false">
      <c r="D71" s="79"/>
      <c r="F71" s="111"/>
      <c r="G71" s="72"/>
    </row>
    <row r="72" customFormat="false" ht="19.5" hidden="false" customHeight="true" outlineLevel="0" collapsed="false">
      <c r="B72" s="106"/>
      <c r="D72" s="107"/>
      <c r="E72" s="112"/>
      <c r="F72" s="113"/>
      <c r="G72" s="72"/>
    </row>
    <row r="73" customFormat="false" ht="19.5" hidden="false" customHeight="true" outlineLevel="0" collapsed="false">
      <c r="B73" s="106"/>
      <c r="D73" s="107"/>
      <c r="E73" s="112"/>
      <c r="F73" s="113"/>
      <c r="G73" s="72"/>
    </row>
    <row r="74" customFormat="false" ht="19.5" hidden="false" customHeight="true" outlineLevel="0" collapsed="false">
      <c r="B74" s="106"/>
      <c r="D74" s="107"/>
      <c r="E74" s="114"/>
      <c r="F74" s="113"/>
      <c r="G74" s="72"/>
    </row>
    <row r="75" customFormat="false" ht="19.5" hidden="false" customHeight="true" outlineLevel="0" collapsed="false">
      <c r="B75" s="106"/>
      <c r="D75" s="107"/>
      <c r="E75" s="112"/>
      <c r="F75" s="113"/>
      <c r="G75" s="72"/>
    </row>
    <row r="78" customFormat="false" ht="11.25" hidden="false" customHeight="true" outlineLevel="0" collapsed="false">
      <c r="E78" s="115"/>
      <c r="F78" s="115"/>
      <c r="G78" s="115"/>
      <c r="H78" s="115"/>
      <c r="I78" s="115"/>
    </row>
  </sheetData>
  <mergeCells count="3">
    <mergeCell ref="E5:F5"/>
    <mergeCell ref="A11:A12"/>
    <mergeCell ref="J18:J19"/>
  </mergeCells>
  <dataValidations count="13">
    <dataValidation allowBlank="true" error="Выберите значение из списка" errorStyle="stop" errorTitle="Ошибка" operator="between"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DropDown="false" showErrorMessage="true" showInputMessage="true" sqref="F37" type="list">
      <formula1>kind_of_NDS</formula1>
      <formula2>0</formula2>
    </dataValidation>
    <dataValidation allowBlank="true" errorStyle="stop" operator="between" prompt="Выбор организации двойным щелчком левой клавиши мыши" showDropDown="false" showErrorMessage="true" showInputMessage="true" sqref="F31"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39:F41 F43 F45:F47 F49 F51 F53 F56 F58 F6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8 F61" type="list">
      <formula1>kind_of_NDS</formula1>
      <formula2>0</formula2>
    </dataValidation>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 ref="F70" r:id="rId2" display="u1577@gpte76.ru"/>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B3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G18" activeCellId="0" sqref="G18"/>
    </sheetView>
  </sheetViews>
  <sheetFormatPr defaultColWidth="9.1445312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71"/>
    <col collapsed="false" customWidth="true" hidden="false" outlineLevel="0" max="4" min="4" style="116" width="3.71"/>
    <col collapsed="false" customWidth="true" hidden="false" outlineLevel="0" max="5" min="5" style="42" width="6.28"/>
    <col collapsed="false" customWidth="true" hidden="true" outlineLevel="0" max="6" min="6" style="42" width="2.71"/>
    <col collapsed="false" customWidth="true" hidden="false" outlineLevel="0" max="7" min="7" style="42" width="46.71"/>
    <col collapsed="false" customWidth="true" hidden="false" outlineLevel="0" max="8" min="8" style="42" width="43.14"/>
    <col collapsed="false" customWidth="true" hidden="false" outlineLevel="0" max="9" min="9" style="42" width="14.85"/>
    <col collapsed="false" customWidth="true" hidden="false" outlineLevel="0" max="10" min="10" style="117" width="3.71"/>
    <col collapsed="false" customWidth="false" hidden="true" outlineLevel="0" max="13" min="11" style="117" width="9.14"/>
    <col collapsed="false" customWidth="true" hidden="true" outlineLevel="0" max="14" min="14" style="117" width="25.71"/>
    <col collapsed="false" customWidth="true" hidden="true" outlineLevel="0" max="15" min="15" style="117" width="14.42"/>
    <col collapsed="false" customWidth="false" hidden="true" outlineLevel="0" max="19" min="16" style="118" width="9.14"/>
    <col collapsed="false" customWidth="false" hidden="true" outlineLevel="0" max="27" min="20" style="42" width="9.14"/>
    <col collapsed="false" customWidth="false" hidden="false" outlineLevel="0" max="28" min="28" style="42" width="9.14"/>
  </cols>
  <sheetData>
    <row r="1" s="47" customFormat="true" ht="5.25" hidden="true" customHeight="true" outlineLevel="0" collapsed="false">
      <c r="A1" s="119"/>
      <c r="D1" s="120"/>
      <c r="G1" s="121" t="s">
        <v>79</v>
      </c>
      <c r="H1" s="120" t="s">
        <v>80</v>
      </c>
      <c r="I1" s="122" t="s">
        <v>81</v>
      </c>
      <c r="J1" s="121" t="s">
        <v>79</v>
      </c>
      <c r="K1" s="121"/>
      <c r="L1" s="121"/>
      <c r="M1" s="121"/>
      <c r="N1" s="121"/>
      <c r="O1" s="121"/>
      <c r="P1" s="121"/>
      <c r="Q1" s="121"/>
      <c r="R1" s="121"/>
      <c r="S1" s="121"/>
      <c r="T1" s="122"/>
      <c r="U1" s="122"/>
      <c r="V1" s="122"/>
      <c r="W1" s="122"/>
      <c r="X1" s="122"/>
      <c r="Y1" s="122"/>
      <c r="Z1" s="122"/>
      <c r="AA1" s="122"/>
      <c r="AB1" s="122"/>
    </row>
    <row r="2" s="126" customFormat="true" ht="11.25" hidden="false" customHeight="true" outlineLevel="0" collapsed="false">
      <c r="A2" s="109"/>
      <c r="B2" s="123"/>
      <c r="C2" s="123"/>
      <c r="D2" s="124"/>
      <c r="E2" s="123"/>
      <c r="F2" s="123"/>
      <c r="G2" s="123"/>
      <c r="H2" s="123"/>
      <c r="I2" s="123"/>
      <c r="J2" s="121"/>
      <c r="K2" s="121"/>
      <c r="L2" s="121"/>
      <c r="M2" s="121"/>
      <c r="N2" s="121"/>
      <c r="O2" s="121"/>
      <c r="P2" s="125"/>
      <c r="Q2" s="125"/>
      <c r="R2" s="125"/>
      <c r="S2" s="125"/>
      <c r="T2" s="124"/>
      <c r="U2" s="124"/>
      <c r="V2" s="124"/>
      <c r="W2" s="124"/>
      <c r="X2" s="124"/>
      <c r="Y2" s="124"/>
      <c r="Z2" s="124"/>
      <c r="AA2" s="124"/>
      <c r="AB2" s="124"/>
    </row>
    <row r="3" s="128" customFormat="true" ht="3" hidden="false" customHeight="true" outlineLevel="0" collapsed="false">
      <c r="A3" s="42"/>
      <c r="B3" s="45"/>
      <c r="C3" s="42"/>
      <c r="D3" s="116"/>
      <c r="E3" s="42"/>
      <c r="F3" s="42"/>
      <c r="G3" s="42"/>
      <c r="H3" s="42"/>
      <c r="I3" s="127"/>
      <c r="J3" s="121"/>
      <c r="K3" s="117"/>
      <c r="L3" s="117"/>
      <c r="M3" s="117"/>
      <c r="N3" s="117"/>
      <c r="O3" s="117"/>
      <c r="P3" s="118"/>
      <c r="Q3" s="118"/>
      <c r="R3" s="118"/>
      <c r="S3" s="118"/>
    </row>
    <row r="4" s="128" customFormat="true" ht="25.5" hidden="false" customHeight="true" outlineLevel="0" collapsed="false">
      <c r="A4" s="42"/>
      <c r="B4" s="45"/>
      <c r="C4" s="42"/>
      <c r="D4" s="116"/>
      <c r="E4" s="129" t="str">
        <f aca="false">NameTemplatesInListMO</f>
        <v>Перечень муниципальных районов и муниципальных образований (территорий действия тарифа)</v>
      </c>
      <c r="F4" s="129"/>
      <c r="G4" s="129"/>
      <c r="H4" s="129"/>
      <c r="I4" s="129"/>
      <c r="J4" s="121"/>
      <c r="K4" s="117"/>
      <c r="L4" s="117"/>
      <c r="M4" s="117"/>
      <c r="N4" s="117"/>
      <c r="O4" s="117"/>
      <c r="P4" s="118"/>
      <c r="Q4" s="118"/>
      <c r="R4" s="118"/>
      <c r="S4" s="118"/>
    </row>
    <row r="5" s="128" customFormat="true" ht="3" hidden="false" customHeight="true" outlineLevel="0" collapsed="false">
      <c r="A5" s="42"/>
      <c r="B5" s="45"/>
      <c r="C5" s="42"/>
      <c r="D5" s="116"/>
      <c r="E5" s="42"/>
      <c r="F5" s="42"/>
      <c r="G5" s="130"/>
      <c r="H5" s="130"/>
      <c r="I5" s="109"/>
      <c r="J5" s="117"/>
      <c r="K5" s="117"/>
      <c r="L5" s="117"/>
      <c r="M5" s="117"/>
      <c r="N5" s="117"/>
      <c r="O5" s="117"/>
      <c r="P5" s="118"/>
      <c r="Q5" s="118"/>
      <c r="R5" s="118"/>
      <c r="S5" s="118"/>
    </row>
    <row r="6" s="128" customFormat="true" ht="20.25" hidden="true" customHeight="true" outlineLevel="0" collapsed="false">
      <c r="A6" s="131"/>
      <c r="B6" s="54"/>
      <c r="C6" s="131"/>
      <c r="D6" s="116"/>
      <c r="E6" s="113"/>
      <c r="F6" s="113"/>
      <c r="G6" s="130"/>
      <c r="H6" s="132"/>
      <c r="I6" s="132"/>
      <c r="J6" s="117"/>
      <c r="K6" s="117"/>
      <c r="L6" s="117"/>
      <c r="M6" s="117"/>
      <c r="N6" s="117"/>
      <c r="O6" s="117"/>
      <c r="P6" s="118"/>
      <c r="Q6" s="118"/>
      <c r="R6" s="118"/>
      <c r="S6" s="118"/>
    </row>
    <row r="7" customFormat="false" ht="25.5" hidden="true" customHeight="true" outlineLevel="0" collapsed="false"/>
    <row r="8" s="128" customFormat="true" ht="14.25" hidden="false" customHeight="true" outlineLevel="0" collapsed="false">
      <c r="A8" s="42"/>
      <c r="B8" s="45"/>
      <c r="C8" s="42"/>
      <c r="D8" s="116"/>
      <c r="E8" s="133" t="s">
        <v>82</v>
      </c>
      <c r="F8" s="133"/>
      <c r="G8" s="133"/>
      <c r="H8" s="134" t="s">
        <v>83</v>
      </c>
      <c r="I8" s="134"/>
      <c r="J8" s="117"/>
      <c r="K8" s="117"/>
      <c r="L8" s="117"/>
      <c r="M8" s="117"/>
      <c r="N8" s="117"/>
      <c r="O8" s="117"/>
      <c r="P8" s="118"/>
      <c r="Q8" s="118"/>
      <c r="R8" s="118"/>
      <c r="S8" s="118"/>
    </row>
    <row r="9" s="128" customFormat="true" ht="20.25" hidden="false" customHeight="true" outlineLevel="0" collapsed="false">
      <c r="A9" s="42"/>
      <c r="B9" s="45"/>
      <c r="C9" s="42"/>
      <c r="D9" s="116"/>
      <c r="E9" s="135" t="s">
        <v>84</v>
      </c>
      <c r="F9" s="135"/>
      <c r="G9" s="136" t="s">
        <v>85</v>
      </c>
      <c r="H9" s="136" t="s">
        <v>85</v>
      </c>
      <c r="I9" s="136" t="s">
        <v>81</v>
      </c>
      <c r="J9" s="117"/>
      <c r="K9" s="117"/>
      <c r="L9" s="117"/>
      <c r="M9" s="117"/>
      <c r="N9" s="117"/>
      <c r="O9" s="117"/>
      <c r="P9" s="118"/>
      <c r="Q9" s="118"/>
      <c r="R9" s="118"/>
      <c r="S9" s="118"/>
    </row>
    <row r="10" customFormat="false" ht="11.25" hidden="false" customHeight="true" outlineLevel="0" collapsed="false">
      <c r="D10" s="137"/>
      <c r="E10" s="138" t="s">
        <v>86</v>
      </c>
      <c r="F10" s="138"/>
      <c r="G10" s="138" t="s">
        <v>87</v>
      </c>
      <c r="H10" s="138" t="s">
        <v>88</v>
      </c>
      <c r="I10" s="138" t="s">
        <v>89</v>
      </c>
      <c r="J10" s="139"/>
      <c r="K10" s="139"/>
      <c r="L10" s="139"/>
      <c r="M10" s="139"/>
      <c r="N10" s="139"/>
      <c r="O10" s="139"/>
      <c r="P10" s="140"/>
      <c r="Q10" s="140"/>
      <c r="R10" s="140"/>
      <c r="S10" s="140"/>
    </row>
    <row r="11" s="128" customFormat="true" ht="0.75" hidden="false" customHeight="true" outlineLevel="0" collapsed="false">
      <c r="A11" s="42"/>
      <c r="B11" s="45"/>
      <c r="C11" s="42"/>
      <c r="D11" s="116"/>
      <c r="E11" s="141"/>
      <c r="F11" s="141"/>
      <c r="G11" s="142"/>
      <c r="H11" s="142"/>
      <c r="I11" s="143"/>
      <c r="J11" s="144" t="s">
        <v>90</v>
      </c>
      <c r="K11" s="117"/>
      <c r="L11" s="117"/>
      <c r="M11" s="117" t="s">
        <v>91</v>
      </c>
      <c r="N11" s="117" t="s">
        <v>92</v>
      </c>
      <c r="O11" s="117" t="s">
        <v>93</v>
      </c>
      <c r="P11" s="118"/>
      <c r="Q11" s="118"/>
      <c r="R11" s="118"/>
      <c r="S11" s="118"/>
    </row>
    <row r="12" s="128" customFormat="true" ht="14.25" hidden="false" customHeight="true" outlineLevel="0" collapsed="false">
      <c r="A12" s="43" t="n">
        <v>1</v>
      </c>
      <c r="B12" s="45"/>
      <c r="C12" s="42"/>
      <c r="D12" s="116"/>
      <c r="E12" s="145" t="n">
        <f aca="false">A12</f>
        <v>1</v>
      </c>
      <c r="F12" s="146" t="s">
        <v>94</v>
      </c>
      <c r="G12" s="147" t="str">
        <f aca="false">"Территория "&amp;E12</f>
        <v>Территория 1</v>
      </c>
      <c r="H12" s="148"/>
      <c r="I12" s="148"/>
      <c r="J12" s="117"/>
      <c r="K12" s="117"/>
      <c r="L12" s="117"/>
      <c r="M12" s="117"/>
      <c r="N12" s="117"/>
      <c r="O12" s="117"/>
      <c r="P12" s="118"/>
      <c r="Q12" s="118"/>
      <c r="R12" s="118"/>
      <c r="S12" s="118"/>
    </row>
    <row r="13" s="53" customFormat="true" ht="15" hidden="false" customHeight="true" outlineLevel="0" collapsed="false">
      <c r="A13" s="43"/>
      <c r="B13" s="45" t="n">
        <v>1</v>
      </c>
      <c r="C13" s="45"/>
      <c r="D13" s="149"/>
      <c r="E13" s="150" t="str">
        <f aca="false">A12&amp;"."&amp;B13</f>
        <v>1.1</v>
      </c>
      <c r="F13" s="151" t="s">
        <v>95</v>
      </c>
      <c r="G13" s="152" t="s">
        <v>96</v>
      </c>
      <c r="H13" s="152" t="s">
        <v>96</v>
      </c>
      <c r="I13" s="153" t="s">
        <v>97</v>
      </c>
      <c r="J13" s="117" t="e">
        <f aca="false">mergevalue(G13)</f>
        <v>#NAME?</v>
      </c>
      <c r="K13" s="47"/>
      <c r="L13" s="47"/>
      <c r="M13" s="117" t="str">
        <f aca="false" t="array" ref="M13:M13">IF(ISERROR(MATCH(MID(N13,1,250),MID(note_ter,1,250),0)),"n","y")</f>
        <v>n</v>
      </c>
      <c r="N13" s="47"/>
      <c r="O13" s="117" t="str">
        <f aca="false">H13&amp;"("&amp;I13&amp;")"</f>
        <v>город Ярославль(78701000)</v>
      </c>
      <c r="P13" s="45"/>
      <c r="Q13" s="45"/>
      <c r="R13" s="154"/>
      <c r="S13" s="45"/>
      <c r="T13" s="45"/>
      <c r="U13" s="45"/>
      <c r="V13" s="54"/>
      <c r="W13" s="54"/>
      <c r="X13" s="155"/>
      <c r="Y13" s="155"/>
      <c r="Z13" s="155"/>
      <c r="AA13" s="155"/>
      <c r="AB13" s="155"/>
    </row>
    <row r="14" s="53" customFormat="true" ht="15" hidden="false" customHeight="true" outlineLevel="0" collapsed="false">
      <c r="A14" s="43"/>
      <c r="B14" s="45"/>
      <c r="C14" s="156"/>
      <c r="D14" s="157"/>
      <c r="E14" s="158"/>
      <c r="F14" s="159"/>
      <c r="G14" s="160" t="s">
        <v>98</v>
      </c>
      <c r="H14" s="161"/>
      <c r="I14" s="162"/>
      <c r="J14" s="47"/>
      <c r="K14" s="47"/>
      <c r="L14" s="47"/>
      <c r="M14" s="47"/>
      <c r="N14" s="117"/>
      <c r="O14" s="47"/>
      <c r="P14" s="45"/>
      <c r="Q14" s="45"/>
      <c r="R14" s="154"/>
      <c r="S14" s="45"/>
      <c r="T14" s="45"/>
      <c r="U14" s="45"/>
      <c r="V14" s="54"/>
      <c r="W14" s="54"/>
      <c r="X14" s="155"/>
      <c r="Y14" s="155"/>
      <c r="Z14" s="155"/>
      <c r="AA14" s="155"/>
      <c r="AB14" s="155"/>
    </row>
    <row r="15" customFormat="false" ht="15" hidden="false" customHeight="true" outlineLevel="0" collapsed="false">
      <c r="A15" s="44" t="s">
        <v>99</v>
      </c>
      <c r="C15" s="157" t="s">
        <v>100</v>
      </c>
      <c r="E15" s="145" t="str">
        <f aca="false">A15</f>
        <v>2</v>
      </c>
      <c r="F15" s="163" t="s">
        <v>101</v>
      </c>
      <c r="G15" s="147" t="str">
        <f aca="false">"Территория "&amp;E15</f>
        <v>Территория 2</v>
      </c>
      <c r="H15" s="148"/>
      <c r="I15" s="148"/>
      <c r="T15" s="128"/>
      <c r="U15" s="128"/>
      <c r="V15" s="128"/>
      <c r="W15" s="128"/>
      <c r="X15" s="128"/>
      <c r="Y15" s="128"/>
      <c r="Z15" s="128"/>
      <c r="AA15" s="128"/>
      <c r="AB15" s="128"/>
    </row>
    <row r="16" customFormat="false" ht="15" hidden="false" customHeight="true" outlineLevel="0" collapsed="false">
      <c r="A16" s="44"/>
      <c r="B16" s="45" t="n">
        <v>1</v>
      </c>
      <c r="C16" s="45"/>
      <c r="D16" s="149"/>
      <c r="E16" s="150" t="str">
        <f aca="false">A15&amp;"."&amp;B16</f>
        <v>2.1</v>
      </c>
      <c r="F16" s="164" t="s">
        <v>102</v>
      </c>
      <c r="G16" s="152" t="s">
        <v>103</v>
      </c>
      <c r="H16" s="152" t="s">
        <v>104</v>
      </c>
      <c r="I16" s="153" t="s">
        <v>105</v>
      </c>
      <c r="K16" s="47"/>
      <c r="L16" s="47"/>
      <c r="M16" s="117" t="str">
        <f aca="false" t="array" ref="M16:M16">IF(ISERROR(MATCH(MID(N16,1,250),MID(note_ter,1,250),0)),"n","y")</f>
        <v>n</v>
      </c>
      <c r="N16" s="47"/>
      <c r="O16" s="117" t="str">
        <f aca="false">H16&amp;"("&amp;I16&amp;")"</f>
        <v>Семибратово сельское поселение(78637447)</v>
      </c>
      <c r="P16" s="45"/>
      <c r="Q16" s="45"/>
      <c r="R16" s="154"/>
      <c r="S16" s="45"/>
      <c r="T16" s="45"/>
      <c r="U16" s="45"/>
      <c r="V16" s="54"/>
      <c r="W16" s="54"/>
      <c r="X16" s="155"/>
      <c r="Y16" s="155"/>
      <c r="Z16" s="155"/>
      <c r="AA16" s="155"/>
      <c r="AB16" s="155"/>
    </row>
    <row r="17" customFormat="false" ht="15" hidden="false" customHeight="true" outlineLevel="0" collapsed="false">
      <c r="A17" s="44"/>
      <c r="C17" s="156"/>
      <c r="D17" s="157"/>
      <c r="E17" s="158"/>
      <c r="F17" s="159"/>
      <c r="G17" s="160" t="s">
        <v>98</v>
      </c>
      <c r="H17" s="161"/>
      <c r="I17" s="162"/>
      <c r="J17" s="47"/>
      <c r="K17" s="47"/>
      <c r="L17" s="47"/>
      <c r="M17" s="47"/>
      <c r="O17" s="47"/>
      <c r="P17" s="45"/>
      <c r="Q17" s="45"/>
      <c r="R17" s="154"/>
      <c r="S17" s="45"/>
      <c r="T17" s="45"/>
      <c r="U17" s="45"/>
      <c r="V17" s="54"/>
      <c r="W17" s="54"/>
      <c r="X17" s="155"/>
      <c r="Y17" s="155"/>
      <c r="Z17" s="155"/>
      <c r="AA17" s="155"/>
      <c r="AB17" s="155"/>
    </row>
    <row r="18" customFormat="false" ht="15" hidden="false" customHeight="true" outlineLevel="0" collapsed="false">
      <c r="A18" s="44" t="s">
        <v>86</v>
      </c>
      <c r="C18" s="157" t="s">
        <v>100</v>
      </c>
      <c r="E18" s="145" t="str">
        <f aca="false">A18</f>
        <v>3</v>
      </c>
      <c r="F18" s="163" t="s">
        <v>106</v>
      </c>
      <c r="G18" s="147" t="str">
        <f aca="false">"Территория "&amp;E18</f>
        <v>Территория 3</v>
      </c>
      <c r="H18" s="148"/>
      <c r="I18" s="148"/>
      <c r="T18" s="128"/>
      <c r="U18" s="128"/>
      <c r="V18" s="128"/>
      <c r="W18" s="128"/>
      <c r="X18" s="128"/>
      <c r="Y18" s="128"/>
      <c r="Z18" s="128"/>
      <c r="AA18" s="128"/>
      <c r="AB18" s="128"/>
    </row>
    <row r="19" customFormat="false" ht="15" hidden="false" customHeight="true" outlineLevel="0" collapsed="false">
      <c r="A19" s="44"/>
      <c r="B19" s="45" t="n">
        <v>1</v>
      </c>
      <c r="C19" s="45"/>
      <c r="D19" s="149"/>
      <c r="E19" s="150" t="str">
        <f aca="false">A18&amp;"."&amp;B19</f>
        <v>3.1</v>
      </c>
      <c r="F19" s="164" t="s">
        <v>107</v>
      </c>
      <c r="G19" s="152" t="s">
        <v>108</v>
      </c>
      <c r="H19" s="152" t="s">
        <v>109</v>
      </c>
      <c r="I19" s="153" t="s">
        <v>110</v>
      </c>
      <c r="K19" s="47"/>
      <c r="L19" s="47"/>
      <c r="M19" s="117" t="str">
        <f aca="false" t="array" ref="M19:M19">IF(ISERROR(MATCH(MID(N19,1,250),MID(note_ter,1,250),0)),"n","y")</f>
        <v>n</v>
      </c>
      <c r="N19" s="47"/>
      <c r="O19" s="117" t="str">
        <f aca="false">H19&amp;"("&amp;I19&amp;")"</f>
        <v>Городское поселение г.Углич(78646101)</v>
      </c>
      <c r="P19" s="45"/>
      <c r="Q19" s="45"/>
      <c r="R19" s="154"/>
      <c r="S19" s="45"/>
      <c r="T19" s="45"/>
      <c r="U19" s="45"/>
      <c r="V19" s="54"/>
      <c r="W19" s="54"/>
      <c r="X19" s="155"/>
      <c r="Y19" s="155"/>
      <c r="Z19" s="155"/>
      <c r="AA19" s="155"/>
      <c r="AB19" s="155"/>
    </row>
    <row r="20" customFormat="false" ht="15" hidden="false" customHeight="true" outlineLevel="0" collapsed="false">
      <c r="A20" s="44"/>
      <c r="C20" s="156"/>
      <c r="D20" s="157"/>
      <c r="E20" s="158"/>
      <c r="F20" s="159"/>
      <c r="G20" s="160" t="s">
        <v>98</v>
      </c>
      <c r="H20" s="161"/>
      <c r="I20" s="162"/>
      <c r="J20" s="47"/>
      <c r="K20" s="47"/>
      <c r="L20" s="47"/>
      <c r="M20" s="47"/>
      <c r="O20" s="47"/>
      <c r="P20" s="45"/>
      <c r="Q20" s="45"/>
      <c r="R20" s="154"/>
      <c r="S20" s="45"/>
      <c r="T20" s="45"/>
      <c r="U20" s="45"/>
      <c r="V20" s="54"/>
      <c r="W20" s="54"/>
      <c r="X20" s="155"/>
      <c r="Y20" s="155"/>
      <c r="Z20" s="155"/>
      <c r="AA20" s="155"/>
      <c r="AB20" s="155"/>
    </row>
    <row r="21" s="128" customFormat="true" ht="14.25" hidden="false" customHeight="true" outlineLevel="0" collapsed="false">
      <c r="A21" s="42"/>
      <c r="B21" s="45"/>
      <c r="C21" s="42"/>
      <c r="D21" s="116"/>
      <c r="E21" s="165"/>
      <c r="F21" s="166"/>
      <c r="G21" s="167" t="s">
        <v>111</v>
      </c>
      <c r="H21" s="166"/>
      <c r="I21" s="168"/>
      <c r="J21" s="144"/>
      <c r="K21" s="117"/>
      <c r="L21" s="117"/>
      <c r="M21" s="117"/>
      <c r="N21" s="117" t="s">
        <v>112</v>
      </c>
      <c r="O21" s="117"/>
      <c r="P21" s="118"/>
      <c r="Q21" s="118"/>
      <c r="R21" s="118"/>
      <c r="S21" s="118"/>
    </row>
    <row r="22" s="128" customFormat="true" ht="21" hidden="false" customHeight="true" outlineLevel="0" collapsed="false">
      <c r="A22" s="42"/>
      <c r="B22" s="45"/>
      <c r="C22" s="42"/>
      <c r="D22" s="116"/>
      <c r="E22" s="169"/>
      <c r="F22" s="169"/>
      <c r="G22" s="169"/>
      <c r="H22" s="169"/>
      <c r="I22" s="169"/>
      <c r="J22" s="117"/>
      <c r="K22" s="117"/>
      <c r="L22" s="117"/>
      <c r="M22" s="117"/>
      <c r="N22" s="117"/>
      <c r="O22" s="117"/>
      <c r="P22" s="118"/>
      <c r="Q22" s="118"/>
      <c r="R22" s="118"/>
      <c r="S22" s="118"/>
    </row>
    <row r="23" s="128" customFormat="true" ht="14.25" hidden="false" customHeight="true" outlineLevel="0" collapsed="false">
      <c r="A23" s="42"/>
      <c r="B23" s="45"/>
      <c r="C23" s="42"/>
      <c r="D23" s="116"/>
      <c r="E23" s="42"/>
      <c r="F23" s="42"/>
      <c r="G23" s="42"/>
      <c r="H23" s="42"/>
      <c r="I23" s="42"/>
      <c r="J23" s="117"/>
      <c r="K23" s="117"/>
      <c r="L23" s="117"/>
      <c r="M23" s="117"/>
      <c r="N23" s="117"/>
      <c r="O23" s="117"/>
      <c r="P23" s="118"/>
      <c r="Q23" s="118"/>
      <c r="R23" s="118"/>
      <c r="S23" s="118"/>
    </row>
    <row r="24" s="128" customFormat="true" ht="0.75" hidden="false" customHeight="true" outlineLevel="0" collapsed="false">
      <c r="A24" s="42"/>
      <c r="B24" s="45"/>
      <c r="C24" s="42"/>
      <c r="D24" s="116"/>
      <c r="E24" s="42"/>
      <c r="F24" s="42"/>
      <c r="G24" s="42"/>
      <c r="H24" s="42"/>
      <c r="I24" s="42"/>
      <c r="J24" s="117"/>
      <c r="K24" s="117"/>
      <c r="L24" s="117"/>
      <c r="M24" s="117"/>
      <c r="N24" s="117"/>
      <c r="O24" s="117"/>
      <c r="P24" s="118"/>
      <c r="Q24" s="118"/>
      <c r="R24" s="118"/>
      <c r="S24" s="118"/>
    </row>
    <row r="25" s="170" customFormat="true" ht="10.5" hidden="false" customHeight="true" outlineLevel="0" collapsed="false">
      <c r="B25" s="171"/>
      <c r="D25" s="172"/>
      <c r="J25" s="117"/>
      <c r="K25" s="117"/>
      <c r="L25" s="117"/>
      <c r="M25" s="117"/>
      <c r="N25" s="117"/>
      <c r="O25" s="117"/>
      <c r="P25" s="118"/>
      <c r="Q25" s="118"/>
      <c r="R25" s="118"/>
      <c r="S25" s="118"/>
    </row>
    <row r="26" s="170" customFormat="true" ht="10.5" hidden="false" customHeight="true" outlineLevel="0" collapsed="false">
      <c r="B26" s="171"/>
      <c r="D26" s="172"/>
      <c r="J26" s="117"/>
      <c r="K26" s="117"/>
      <c r="L26" s="117"/>
      <c r="M26" s="117"/>
      <c r="N26" s="117"/>
      <c r="O26" s="117"/>
      <c r="P26" s="118"/>
      <c r="Q26" s="118"/>
      <c r="R26" s="118"/>
      <c r="S26" s="118"/>
    </row>
    <row r="30" customFormat="false" ht="14.25" hidden="false" customHeight="true" outlineLevel="0" collapsed="false">
      <c r="H30" s="173"/>
    </row>
    <row r="34" customFormat="false" ht="14.25" hidden="false" customHeight="true" outlineLevel="0" collapsed="false">
      <c r="J34" s="42"/>
      <c r="K34" s="42"/>
      <c r="L34" s="42"/>
    </row>
  </sheetData>
  <mergeCells count="6">
    <mergeCell ref="E4:I4"/>
    <mergeCell ref="E8:G8"/>
    <mergeCell ref="H8:I8"/>
    <mergeCell ref="A12:A14"/>
    <mergeCell ref="A15:A17"/>
    <mergeCell ref="A18:A20"/>
  </mergeCells>
  <dataValidations count="3">
    <dataValidation allowBlank="true" error="Допускается ввод не более 900 символов!" errorStyle="stop" errorTitle="Ошибка" operator="lessThanOrEqual" showDropDown="false" showErrorMessage="true" showInputMessage="true" sqref="G18"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G15"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L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true" outlineLevel="0" max="1" min="1" style="174" width="6.42"/>
    <col collapsed="false" customWidth="true" hidden="true" outlineLevel="0" max="2" min="2" style="174" width="2"/>
    <col collapsed="false" customWidth="true" hidden="false" outlineLevel="0" max="3" min="3" style="174" width="3.71"/>
    <col collapsed="false" customWidth="true" hidden="false" outlineLevel="0" max="4" min="4" style="174" width="4.28"/>
    <col collapsed="false" customWidth="true" hidden="false" outlineLevel="0" max="5" min="5" style="174" width="45"/>
    <col collapsed="false" customWidth="true" hidden="false" outlineLevel="0" max="6" min="6" style="174" width="6.42"/>
    <col collapsed="false" customWidth="true" hidden="false" outlineLevel="0" max="7" min="7" style="174" width="4.42"/>
    <col collapsed="false" customWidth="true" hidden="false" outlineLevel="0" max="8" min="8" style="174" width="5.57"/>
    <col collapsed="false" customWidth="true" hidden="false" outlineLevel="0" max="9" min="9" style="174" width="52.85"/>
    <col collapsed="false" customWidth="true" hidden="false" outlineLevel="0" max="10" min="10" style="174" width="7"/>
    <col collapsed="false" customWidth="true" hidden="false" outlineLevel="0" max="11" min="11" style="174" width="3.71"/>
    <col collapsed="false" customWidth="true" hidden="false" outlineLevel="0" max="12" min="12" style="174" width="6.28"/>
    <col collapsed="false" customWidth="true" hidden="false" outlineLevel="0" max="13" min="13" style="174" width="56.28"/>
    <col collapsed="false" customWidth="false" hidden="false" outlineLevel="0" max="14" min="14" style="139" width="9.14"/>
    <col collapsed="false" customWidth="false" hidden="true" outlineLevel="0" max="20" min="15" style="117" width="9.14"/>
    <col collapsed="false" customWidth="false" hidden="true" outlineLevel="0" max="24" min="21" style="95" width="9.14"/>
    <col collapsed="false" customWidth="false" hidden="true" outlineLevel="0" max="37" min="25" style="139" width="9.14"/>
    <col collapsed="false" customWidth="false" hidden="false" outlineLevel="0" max="38" min="38" style="139" width="9.14"/>
  </cols>
  <sheetData>
    <row r="1" customFormat="false" ht="11.25" hidden="true" customHeight="true" outlineLevel="0" collapsed="false"/>
    <row r="2" customFormat="false" ht="11.25" hidden="true" customHeight="true" outlineLevel="0" collapsed="false"/>
    <row r="4" customFormat="false" ht="34.5" hidden="false" customHeight="true" outlineLevel="0" collapsed="false">
      <c r="A4" s="95"/>
      <c r="B4" s="95"/>
      <c r="D4" s="175" t="str">
        <f aca="false">Титульный!E5</f>
        <v>Показатели, подлежащие раскрытию в сфере горячего водоснабжения (цены и тарифы)</v>
      </c>
      <c r="E4" s="175"/>
      <c r="F4" s="175"/>
      <c r="G4" s="175"/>
      <c r="H4" s="175"/>
      <c r="I4" s="175"/>
      <c r="J4" s="139"/>
      <c r="K4" s="139"/>
      <c r="L4" s="139"/>
      <c r="M4" s="139"/>
    </row>
    <row r="5" s="180" customFormat="true" ht="15" hidden="false" customHeight="true" outlineLevel="0" collapsed="false">
      <c r="A5" s="95"/>
      <c r="B5" s="95"/>
      <c r="C5" s="95"/>
      <c r="D5" s="176" t="str">
        <f aca="false">IF(org=0,"Не определено",org)</f>
        <v>ООО "Газпром теплоэнерго Ярославль"</v>
      </c>
      <c r="E5" s="176"/>
      <c r="F5" s="176"/>
      <c r="G5" s="176"/>
      <c r="H5" s="176"/>
      <c r="I5" s="176"/>
      <c r="J5" s="177"/>
      <c r="K5" s="177"/>
      <c r="L5" s="177"/>
      <c r="M5" s="177"/>
      <c r="N5" s="177"/>
      <c r="O5" s="178"/>
      <c r="P5" s="178"/>
      <c r="Q5" s="178"/>
      <c r="R5" s="178"/>
      <c r="S5" s="178"/>
      <c r="T5" s="178"/>
      <c r="U5" s="179"/>
      <c r="V5" s="179"/>
      <c r="W5" s="179"/>
      <c r="X5" s="179"/>
      <c r="Y5" s="177"/>
      <c r="Z5" s="177"/>
      <c r="AA5" s="177"/>
      <c r="AB5" s="177"/>
      <c r="AC5" s="177"/>
      <c r="AD5" s="177"/>
      <c r="AE5" s="177"/>
      <c r="AF5" s="177"/>
      <c r="AG5" s="177"/>
      <c r="AH5" s="177"/>
      <c r="AI5" s="177"/>
      <c r="AJ5" s="177"/>
      <c r="AK5" s="177"/>
      <c r="AL5" s="177"/>
    </row>
    <row r="6" s="180" customFormat="true" ht="6" hidden="false" customHeight="true" outlineLevel="0" collapsed="false">
      <c r="A6" s="43"/>
      <c r="B6" s="43"/>
      <c r="C6" s="43"/>
      <c r="D6" s="43"/>
      <c r="E6" s="43"/>
      <c r="F6" s="43"/>
      <c r="G6" s="42"/>
      <c r="H6" s="42"/>
      <c r="I6" s="42"/>
      <c r="J6" s="42"/>
      <c r="K6" s="42"/>
      <c r="N6" s="177"/>
      <c r="O6" s="178"/>
      <c r="P6" s="178"/>
      <c r="Q6" s="178"/>
      <c r="R6" s="178"/>
      <c r="S6" s="178"/>
      <c r="T6" s="178"/>
      <c r="U6" s="179"/>
      <c r="V6" s="179"/>
      <c r="W6" s="179"/>
      <c r="X6" s="179"/>
      <c r="Y6" s="177"/>
      <c r="Z6" s="177"/>
      <c r="AA6" s="177"/>
      <c r="AB6" s="177"/>
      <c r="AC6" s="177"/>
      <c r="AD6" s="177"/>
      <c r="AE6" s="177"/>
      <c r="AF6" s="177"/>
      <c r="AG6" s="177"/>
      <c r="AH6" s="177"/>
      <c r="AI6" s="177"/>
      <c r="AJ6" s="177"/>
      <c r="AK6" s="177"/>
      <c r="AL6" s="177"/>
    </row>
    <row r="7" customFormat="false" ht="45.75" hidden="true" customHeight="true" outlineLevel="0" collapsed="false">
      <c r="E7" s="181"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1"/>
      <c r="G7" s="181"/>
      <c r="H7" s="181"/>
      <c r="I7" s="181"/>
      <c r="J7" s="181"/>
      <c r="K7" s="181"/>
      <c r="L7" s="181"/>
      <c r="M7" s="181"/>
    </row>
    <row r="8" s="180" customFormat="true" ht="6" hidden="false" customHeight="true" outlineLevel="0" collapsed="false">
      <c r="A8" s="182"/>
      <c r="B8" s="182"/>
      <c r="C8" s="182"/>
      <c r="D8" s="182"/>
      <c r="E8" s="182"/>
      <c r="F8" s="182"/>
      <c r="G8" s="182"/>
      <c r="H8" s="182"/>
      <c r="I8" s="182"/>
      <c r="J8" s="182"/>
      <c r="K8" s="182"/>
      <c r="L8" s="182"/>
      <c r="N8" s="177"/>
      <c r="O8" s="178"/>
      <c r="P8" s="178"/>
      <c r="Q8" s="178"/>
      <c r="R8" s="178"/>
      <c r="S8" s="178"/>
      <c r="T8" s="178"/>
      <c r="U8" s="179"/>
      <c r="V8" s="179"/>
      <c r="W8" s="179"/>
      <c r="X8" s="179"/>
      <c r="Y8" s="177"/>
      <c r="Z8" s="177"/>
      <c r="AA8" s="177"/>
      <c r="AB8" s="177"/>
      <c r="AC8" s="177"/>
      <c r="AD8" s="177"/>
      <c r="AE8" s="177"/>
      <c r="AF8" s="177"/>
      <c r="AG8" s="177"/>
      <c r="AH8" s="177"/>
      <c r="AI8" s="177"/>
      <c r="AJ8" s="177"/>
      <c r="AK8" s="177"/>
      <c r="AL8" s="177"/>
    </row>
    <row r="9" customFormat="false" ht="18" hidden="false" customHeight="true" outlineLevel="0" collapsed="false">
      <c r="A9" s="72"/>
      <c r="B9" s="42"/>
      <c r="C9" s="42"/>
      <c r="D9" s="133" t="s">
        <v>113</v>
      </c>
      <c r="E9" s="133"/>
      <c r="F9" s="183" t="s">
        <v>114</v>
      </c>
      <c r="G9" s="183"/>
      <c r="H9" s="183"/>
      <c r="I9" s="183"/>
      <c r="J9" s="184" t="s">
        <v>115</v>
      </c>
      <c r="K9" s="184"/>
      <c r="L9" s="184"/>
      <c r="M9" s="184"/>
    </row>
    <row r="10" customFormat="false" ht="22.5" hidden="false" customHeight="true" outlineLevel="0" collapsed="false">
      <c r="A10" s="72"/>
      <c r="B10" s="43"/>
      <c r="C10" s="185"/>
      <c r="D10" s="145" t="s">
        <v>84</v>
      </c>
      <c r="E10" s="145" t="s">
        <v>85</v>
      </c>
      <c r="F10" s="145" t="s">
        <v>116</v>
      </c>
      <c r="G10" s="186" t="s">
        <v>84</v>
      </c>
      <c r="H10" s="186"/>
      <c r="I10" s="145" t="s">
        <v>85</v>
      </c>
      <c r="J10" s="145" t="s">
        <v>116</v>
      </c>
      <c r="K10" s="186" t="s">
        <v>84</v>
      </c>
      <c r="L10" s="186"/>
      <c r="M10" s="145" t="s">
        <v>85</v>
      </c>
      <c r="N10" s="187"/>
    </row>
    <row r="11" s="174" customFormat="true" ht="11.25" hidden="true" customHeight="true" outlineLevel="0" collapsed="false">
      <c r="A11" s="188"/>
      <c r="B11" s="188"/>
      <c r="C11" s="188"/>
      <c r="D11" s="189" t="s">
        <v>117</v>
      </c>
      <c r="E11" s="189" t="s">
        <v>99</v>
      </c>
      <c r="F11" s="189" t="s">
        <v>86</v>
      </c>
      <c r="G11" s="190" t="s">
        <v>87</v>
      </c>
      <c r="H11" s="190"/>
      <c r="I11" s="189" t="s">
        <v>118</v>
      </c>
      <c r="J11" s="189" t="s">
        <v>88</v>
      </c>
      <c r="K11" s="189" t="s">
        <v>89</v>
      </c>
      <c r="L11" s="189"/>
      <c r="M11" s="189" t="s">
        <v>119</v>
      </c>
      <c r="N11" s="187"/>
      <c r="O11" s="117"/>
      <c r="P11" s="117"/>
      <c r="Q11" s="117"/>
      <c r="R11" s="117"/>
      <c r="S11" s="117"/>
      <c r="T11" s="117"/>
      <c r="U11" s="95"/>
      <c r="V11" s="95"/>
      <c r="W11" s="95"/>
      <c r="X11" s="95"/>
      <c r="Y11" s="139"/>
      <c r="Z11" s="139"/>
      <c r="AA11" s="139"/>
      <c r="AB11" s="139"/>
      <c r="AC11" s="139"/>
      <c r="AD11" s="139"/>
      <c r="AE11" s="139"/>
      <c r="AF11" s="139"/>
      <c r="AG11" s="139"/>
      <c r="AH11" s="139"/>
      <c r="AI11" s="139"/>
      <c r="AJ11" s="139"/>
      <c r="AK11" s="139"/>
      <c r="AL11" s="139"/>
    </row>
    <row r="12" customFormat="false" ht="0.75" hidden="false" customHeight="true" outlineLevel="0" collapsed="false">
      <c r="A12" s="191"/>
      <c r="B12" s="43"/>
      <c r="C12" s="43"/>
      <c r="D12" s="192"/>
      <c r="E12" s="193"/>
      <c r="F12" s="193"/>
      <c r="G12" s="194"/>
      <c r="H12" s="194"/>
      <c r="I12" s="193"/>
      <c r="J12" s="193"/>
      <c r="K12" s="195"/>
      <c r="L12" s="193"/>
      <c r="M12" s="196"/>
      <c r="N12" s="187"/>
      <c r="O12" s="117" t="s">
        <v>120</v>
      </c>
      <c r="P12" s="117" t="s">
        <v>121</v>
      </c>
      <c r="Q12" s="117" t="s">
        <v>122</v>
      </c>
      <c r="R12" s="117" t="s">
        <v>123</v>
      </c>
    </row>
    <row r="13" s="174" customFormat="true" ht="15" hidden="false" customHeight="true" outlineLevel="0" collapsed="false">
      <c r="A13" s="53"/>
      <c r="B13" s="53"/>
      <c r="C13" s="116"/>
      <c r="D13" s="197" t="s">
        <v>117</v>
      </c>
      <c r="E13" s="198"/>
      <c r="F13" s="199" t="s">
        <v>63</v>
      </c>
      <c r="G13" s="200"/>
      <c r="H13" s="201" t="n">
        <v>1</v>
      </c>
      <c r="I13" s="202" t="str">
        <f aca="false">IF(U13="","",INDEX(TERRITORY_MR_LIST,MATCH(U13,TERRITORY_LIST_ID,0)))</f>
        <v/>
      </c>
      <c r="J13" s="203" t="s">
        <v>53</v>
      </c>
      <c r="K13" s="204"/>
      <c r="L13" s="197" t="s">
        <v>117</v>
      </c>
      <c r="M13" s="205"/>
      <c r="N13" s="187"/>
      <c r="O13" s="117" t="s">
        <v>124</v>
      </c>
      <c r="P13" s="117" t="n">
        <f aca="false">$E$13</f>
        <v>0</v>
      </c>
      <c r="Q13" s="117" t="str">
        <f aca="false">IF($F$13="нет","без дифференциации",$I$13)</f>
        <v/>
      </c>
      <c r="R13" s="117" t="str">
        <f aca="false">IF($J$13="нет","без дифференциации",M13)</f>
        <v>без дифференциации</v>
      </c>
      <c r="S13" s="117"/>
      <c r="T13" s="117"/>
      <c r="U13" s="95"/>
      <c r="V13" s="95"/>
      <c r="W13" s="95"/>
      <c r="X13" s="95"/>
      <c r="Y13" s="139" t="s">
        <v>125</v>
      </c>
      <c r="Z13" s="139" t="n">
        <v>1705000</v>
      </c>
      <c r="AA13" s="139"/>
      <c r="AB13" s="139"/>
      <c r="AC13" s="139"/>
      <c r="AD13" s="139"/>
      <c r="AE13" s="139"/>
      <c r="AF13" s="139"/>
      <c r="AG13" s="139"/>
      <c r="AH13" s="139"/>
      <c r="AI13" s="139"/>
      <c r="AJ13" s="139"/>
      <c r="AK13" s="139"/>
      <c r="AL13" s="139"/>
    </row>
    <row r="14" s="174" customFormat="true" ht="15" hidden="false" customHeight="true" outlineLevel="0" collapsed="false">
      <c r="A14" s="53"/>
      <c r="B14" s="53"/>
      <c r="C14" s="137"/>
      <c r="D14" s="197"/>
      <c r="E14" s="198"/>
      <c r="F14" s="199"/>
      <c r="G14" s="200"/>
      <c r="H14" s="201"/>
      <c r="I14" s="202"/>
      <c r="J14" s="203"/>
      <c r="K14" s="158"/>
      <c r="L14" s="159"/>
      <c r="M14" s="206" t="s">
        <v>126</v>
      </c>
      <c r="N14" s="187"/>
      <c r="O14" s="117"/>
      <c r="P14" s="117"/>
      <c r="Q14" s="117"/>
      <c r="R14" s="117"/>
      <c r="S14" s="117"/>
      <c r="T14" s="117"/>
      <c r="U14" s="95"/>
      <c r="V14" s="95"/>
      <c r="W14" s="95"/>
      <c r="X14" s="95"/>
      <c r="Y14" s="139"/>
      <c r="Z14" s="139"/>
      <c r="AA14" s="139"/>
      <c r="AB14" s="139"/>
      <c r="AC14" s="139"/>
      <c r="AD14" s="139"/>
      <c r="AE14" s="139"/>
      <c r="AF14" s="139"/>
      <c r="AG14" s="139"/>
      <c r="AH14" s="139"/>
      <c r="AI14" s="139"/>
      <c r="AJ14" s="139"/>
      <c r="AK14" s="139"/>
      <c r="AL14" s="139"/>
    </row>
    <row r="15" s="174" customFormat="true" ht="15" hidden="false" customHeight="true" outlineLevel="0" collapsed="false">
      <c r="A15" s="53"/>
      <c r="B15" s="53"/>
      <c r="C15" s="137"/>
      <c r="D15" s="197"/>
      <c r="E15" s="198"/>
      <c r="F15" s="199"/>
      <c r="G15" s="207"/>
      <c r="H15" s="208"/>
      <c r="I15" s="160" t="s">
        <v>127</v>
      </c>
      <c r="J15" s="159"/>
      <c r="K15" s="159"/>
      <c r="L15" s="159"/>
      <c r="M15" s="209"/>
      <c r="N15" s="187"/>
      <c r="O15" s="117"/>
      <c r="P15" s="117"/>
      <c r="Q15" s="117"/>
      <c r="R15" s="117"/>
      <c r="S15" s="117"/>
      <c r="T15" s="117"/>
      <c r="U15" s="95"/>
      <c r="V15" s="95"/>
      <c r="W15" s="95"/>
      <c r="X15" s="95"/>
      <c r="Y15" s="139"/>
      <c r="Z15" s="139"/>
      <c r="AA15" s="139"/>
      <c r="AB15" s="139"/>
      <c r="AC15" s="139"/>
      <c r="AD15" s="139"/>
      <c r="AE15" s="139"/>
      <c r="AF15" s="139"/>
      <c r="AG15" s="139"/>
      <c r="AH15" s="139"/>
      <c r="AI15" s="139"/>
      <c r="AJ15" s="139"/>
      <c r="AK15" s="139"/>
      <c r="AL15" s="139"/>
    </row>
    <row r="16" customFormat="false" ht="15" hidden="false" customHeight="true" outlineLevel="0" collapsed="false">
      <c r="A16" s="210"/>
      <c r="B16" s="50"/>
      <c r="C16" s="113"/>
      <c r="D16" s="158"/>
      <c r="E16" s="211" t="s">
        <v>128</v>
      </c>
      <c r="F16" s="159"/>
      <c r="G16" s="159"/>
      <c r="H16" s="159"/>
      <c r="I16" s="159"/>
      <c r="J16" s="159"/>
      <c r="K16" s="159"/>
      <c r="L16" s="159"/>
      <c r="M16" s="209"/>
      <c r="N16" s="187"/>
    </row>
  </sheetData>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dataValidations count="1">
    <dataValidation allowBlank="true" error="Допускается ввод не более 900 символов!" errorStyle="stop" operator="lessThan" showDropDown="false" showErrorMessage="true" showInputMessage="true" sqref="M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Q13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O106" activeCellId="0" sqref="O106"/>
    </sheetView>
  </sheetViews>
  <sheetFormatPr defaultColWidth="9.14453125" defaultRowHeight="11.25" zeroHeight="false" outlineLevelRow="0" outlineLevelCol="0"/>
  <cols>
    <col collapsed="false" customWidth="true" hidden="true" outlineLevel="0" max="2" min="1" style="117" width="3.71"/>
    <col collapsed="false" customWidth="true" hidden="false" outlineLevel="0" max="3" min="3" style="174" width="3.71"/>
    <col collapsed="false" customWidth="true" hidden="false" outlineLevel="0" max="4" min="4" style="174" width="6.14"/>
    <col collapsed="false" customWidth="true" hidden="false" outlineLevel="0" max="5" min="5" style="174" width="43.14"/>
    <col collapsed="false" customWidth="true" hidden="false" outlineLevel="0" max="6" min="6" style="174" width="15"/>
    <col collapsed="false" customWidth="true" hidden="false" outlineLevel="0" max="7" min="7" style="174" width="43.14"/>
    <col collapsed="false" customWidth="true" hidden="false" outlineLevel="0" max="8" min="8" style="174" width="3.71"/>
    <col collapsed="false" customWidth="true" hidden="false" outlineLevel="0" max="9" min="9" style="174" width="5.42"/>
    <col collapsed="false" customWidth="true" hidden="false" outlineLevel="0" max="10" min="10" style="174" width="47.85"/>
    <col collapsed="false" customWidth="true" hidden="false" outlineLevel="0" max="12" min="11" style="174" width="3.71"/>
    <col collapsed="false" customWidth="true" hidden="false" outlineLevel="0" max="13" min="13" style="174" width="5.71"/>
    <col collapsed="false" customWidth="true" hidden="false" outlineLevel="0" max="14" min="14" style="174" width="28.14"/>
    <col collapsed="false" customWidth="true" hidden="false" outlineLevel="0" max="16" min="15" style="174" width="3.71"/>
    <col collapsed="false" customWidth="true" hidden="false" outlineLevel="0" max="17" min="17" style="174" width="5.71"/>
    <col collapsed="false" customWidth="true" hidden="false" outlineLevel="0" max="18" min="18" style="174" width="34.42"/>
    <col collapsed="false" customWidth="true" hidden="true" outlineLevel="0" max="20" min="19" style="174" width="3.71"/>
    <col collapsed="false" customWidth="true" hidden="true" outlineLevel="0" max="21" min="21" style="174" width="5.71"/>
    <col collapsed="false" customWidth="true" hidden="true" outlineLevel="0" max="22" min="22" style="174" width="34.42"/>
    <col collapsed="false" customWidth="true" hidden="false" outlineLevel="0" max="23" min="23" style="174" width="30.71"/>
    <col collapsed="false" customWidth="true" hidden="false" outlineLevel="0" max="24" min="24" style="174" width="3.71"/>
    <col collapsed="false" customWidth="true" hidden="false" outlineLevel="0" max="25" min="25" style="95" width="9.85"/>
    <col collapsed="false" customWidth="true" hidden="true" outlineLevel="0" max="28" min="26" style="95" width="9.85"/>
    <col collapsed="false" customWidth="true" hidden="true" outlineLevel="0" max="29" min="29" style="95" width="27"/>
    <col collapsed="false" customWidth="true" hidden="true" outlineLevel="0" max="30" min="30" style="95" width="10.57"/>
    <col collapsed="false" customWidth="true" hidden="true" outlineLevel="0" max="31" min="31" style="95" width="10.71"/>
    <col collapsed="false" customWidth="true" hidden="true" outlineLevel="0" max="32" min="32" style="95" width="10"/>
    <col collapsed="false" customWidth="true" hidden="true" outlineLevel="0" max="33" min="33" style="95" width="12.85"/>
    <col collapsed="false" customWidth="true" hidden="true" outlineLevel="0" max="34" min="34" style="95" width="24.42"/>
    <col collapsed="false" customWidth="true" hidden="true" outlineLevel="0" max="35" min="35" style="95" width="15.85"/>
    <col collapsed="false" customWidth="true" hidden="true" outlineLevel="0" max="36" min="36" style="95" width="19.42"/>
    <col collapsed="false" customWidth="true" hidden="true" outlineLevel="0" max="37" min="37" style="95" width="11"/>
    <col collapsed="false" customWidth="true" hidden="true" outlineLevel="0" max="38" min="38" style="95" width="23.57"/>
    <col collapsed="false" customWidth="true" hidden="true" outlineLevel="0" max="39" min="39" style="95" width="23.85"/>
    <col collapsed="false" customWidth="true" hidden="true" outlineLevel="0" max="40" min="40" style="95" width="25.28"/>
    <col collapsed="false" customWidth="true" hidden="true" outlineLevel="0" max="41" min="41" style="95" width="16.85"/>
    <col collapsed="false" customWidth="true" hidden="true" outlineLevel="0" max="42" min="42" style="95" width="29.57"/>
    <col collapsed="false" customWidth="true" hidden="true" outlineLevel="0" max="43" min="43" style="95" width="29.8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row r="5" s="180" customFormat="true" ht="29.25" hidden="false" customHeight="true" outlineLevel="0" collapsed="false">
      <c r="A5" s="178"/>
      <c r="B5" s="178"/>
      <c r="D5" s="212"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2"/>
      <c r="F5" s="212"/>
      <c r="G5" s="212"/>
      <c r="H5" s="212"/>
      <c r="I5" s="212"/>
      <c r="J5" s="212"/>
      <c r="K5" s="213"/>
      <c r="L5" s="214"/>
      <c r="M5" s="214"/>
      <c r="N5" s="214"/>
      <c r="O5" s="214"/>
      <c r="P5" s="214"/>
      <c r="Q5" s="214"/>
      <c r="R5" s="214"/>
      <c r="S5" s="214"/>
      <c r="T5" s="214"/>
      <c r="U5" s="214"/>
      <c r="V5" s="214"/>
      <c r="W5" s="214"/>
      <c r="Y5" s="179"/>
      <c r="Z5" s="179"/>
      <c r="AA5" s="179"/>
      <c r="AB5" s="179"/>
      <c r="AC5" s="179"/>
      <c r="AD5" s="179"/>
      <c r="AE5" s="179"/>
      <c r="AF5" s="179"/>
      <c r="AG5" s="179"/>
      <c r="AH5" s="179"/>
      <c r="AI5" s="179"/>
      <c r="AJ5" s="179"/>
      <c r="AK5" s="179"/>
      <c r="AL5" s="179"/>
      <c r="AM5" s="179"/>
      <c r="AN5" s="179"/>
      <c r="AO5" s="179"/>
      <c r="AP5" s="179"/>
      <c r="AQ5" s="179"/>
    </row>
    <row r="6" s="180" customFormat="true" ht="15" hidden="false" customHeight="true" outlineLevel="0" collapsed="false">
      <c r="A6" s="95"/>
      <c r="B6" s="95"/>
      <c r="C6" s="95"/>
      <c r="D6" s="176" t="str">
        <f aca="false">IF(org=0,"Не определено",org)</f>
        <v>ООО "Газпром теплоэнерго Ярославль"</v>
      </c>
      <c r="E6" s="176"/>
      <c r="F6" s="176"/>
      <c r="G6" s="176"/>
      <c r="H6" s="176"/>
      <c r="I6" s="176"/>
      <c r="J6" s="176"/>
      <c r="K6" s="177"/>
      <c r="L6" s="177"/>
      <c r="M6" s="177"/>
      <c r="N6" s="177"/>
      <c r="O6" s="178"/>
      <c r="P6" s="178"/>
      <c r="Q6" s="178"/>
      <c r="R6" s="178"/>
      <c r="S6" s="178"/>
      <c r="T6" s="178"/>
      <c r="U6" s="178"/>
      <c r="V6" s="178"/>
      <c r="W6" s="178"/>
      <c r="X6" s="177"/>
      <c r="Y6" s="179"/>
      <c r="Z6" s="179"/>
      <c r="AA6" s="179"/>
      <c r="AB6" s="179"/>
      <c r="AC6" s="179"/>
      <c r="AD6" s="179"/>
      <c r="AE6" s="179"/>
      <c r="AF6" s="179"/>
      <c r="AG6" s="179"/>
      <c r="AH6" s="179"/>
      <c r="AI6" s="179"/>
      <c r="AJ6" s="179"/>
      <c r="AK6" s="179"/>
      <c r="AL6" s="179"/>
      <c r="AM6" s="179"/>
      <c r="AN6" s="179"/>
      <c r="AO6" s="179"/>
      <c r="AP6" s="179"/>
      <c r="AQ6" s="179"/>
    </row>
    <row r="7" s="215" customFormat="true" ht="11.25" hidden="false" customHeight="true" outlineLevel="0" collapsed="false">
      <c r="A7" s="117"/>
      <c r="B7" s="117"/>
      <c r="D7" s="216"/>
      <c r="E7" s="216"/>
      <c r="F7" s="216"/>
      <c r="G7" s="216"/>
      <c r="H7" s="216"/>
      <c r="I7" s="216"/>
      <c r="J7" s="216"/>
      <c r="Y7" s="95"/>
      <c r="Z7" s="95"/>
      <c r="AA7" s="95"/>
      <c r="AB7" s="95"/>
      <c r="AC7" s="95"/>
      <c r="AD7" s="95"/>
      <c r="AE7" s="95"/>
      <c r="AF7" s="95"/>
      <c r="AG7" s="95"/>
      <c r="AH7" s="95"/>
      <c r="AI7" s="95"/>
      <c r="AJ7" s="95"/>
      <c r="AK7" s="95"/>
      <c r="AL7" s="95"/>
      <c r="AM7" s="95"/>
      <c r="AN7" s="95"/>
      <c r="AO7" s="95"/>
      <c r="AP7" s="95"/>
      <c r="AQ7" s="95"/>
    </row>
    <row r="8" s="180" customFormat="true" ht="0.75" hidden="false" customHeight="true" outlineLevel="0" collapsed="false">
      <c r="A8" s="178"/>
      <c r="B8" s="178"/>
      <c r="D8" s="182"/>
      <c r="E8" s="182"/>
      <c r="F8" s="182"/>
      <c r="G8" s="182"/>
      <c r="H8" s="182"/>
      <c r="I8" s="182"/>
      <c r="J8" s="182"/>
      <c r="K8" s="182"/>
      <c r="L8" s="182"/>
      <c r="M8" s="182"/>
      <c r="N8" s="182"/>
      <c r="O8" s="182"/>
      <c r="P8" s="182"/>
      <c r="Q8" s="182"/>
      <c r="R8" s="182"/>
      <c r="S8" s="182"/>
      <c r="T8" s="182"/>
      <c r="U8" s="182"/>
      <c r="V8" s="182"/>
      <c r="W8" s="182"/>
      <c r="Y8" s="179"/>
      <c r="Z8" s="179"/>
      <c r="AA8" s="179"/>
      <c r="AB8" s="179"/>
      <c r="AC8" s="179"/>
      <c r="AD8" s="179"/>
      <c r="AE8" s="179"/>
      <c r="AF8" s="179"/>
      <c r="AG8" s="179"/>
      <c r="AH8" s="179"/>
      <c r="AI8" s="179"/>
      <c r="AJ8" s="179"/>
      <c r="AK8" s="179"/>
      <c r="AL8" s="179"/>
      <c r="AM8" s="179"/>
      <c r="AN8" s="179"/>
      <c r="AO8" s="179"/>
      <c r="AP8" s="179"/>
      <c r="AQ8" s="179"/>
    </row>
    <row r="9" customFormat="false" ht="27" hidden="false" customHeight="true" outlineLevel="0" collapsed="false">
      <c r="D9" s="133" t="s">
        <v>84</v>
      </c>
      <c r="E9" s="133" t="s">
        <v>129</v>
      </c>
      <c r="F9" s="133"/>
      <c r="G9" s="133" t="s">
        <v>113</v>
      </c>
      <c r="H9" s="133" t="s">
        <v>84</v>
      </c>
      <c r="I9" s="133"/>
      <c r="J9" s="133" t="s">
        <v>130</v>
      </c>
      <c r="K9" s="184" t="s">
        <v>131</v>
      </c>
      <c r="L9" s="184"/>
      <c r="M9" s="184"/>
      <c r="N9" s="184"/>
      <c r="O9" s="184" t="s">
        <v>132</v>
      </c>
      <c r="P9" s="184"/>
      <c r="Q9" s="184"/>
      <c r="R9" s="184"/>
      <c r="S9" s="184" t="s">
        <v>133</v>
      </c>
      <c r="T9" s="184"/>
      <c r="U9" s="184"/>
      <c r="V9" s="184"/>
      <c r="W9" s="133" t="s">
        <v>134</v>
      </c>
    </row>
    <row r="10" customFormat="false" ht="30" hidden="false" customHeight="true" outlineLevel="0" collapsed="false">
      <c r="D10" s="133"/>
      <c r="E10" s="145" t="s">
        <v>85</v>
      </c>
      <c r="F10" s="145" t="s">
        <v>135</v>
      </c>
      <c r="G10" s="133"/>
      <c r="H10" s="133"/>
      <c r="I10" s="133"/>
      <c r="J10" s="133"/>
      <c r="K10" s="145" t="s">
        <v>116</v>
      </c>
      <c r="L10" s="133" t="s">
        <v>84</v>
      </c>
      <c r="M10" s="133"/>
      <c r="N10" s="145" t="s">
        <v>136</v>
      </c>
      <c r="O10" s="145" t="s">
        <v>116</v>
      </c>
      <c r="P10" s="133" t="s">
        <v>84</v>
      </c>
      <c r="Q10" s="133"/>
      <c r="R10" s="145" t="s">
        <v>136</v>
      </c>
      <c r="S10" s="145" t="s">
        <v>116</v>
      </c>
      <c r="T10" s="133" t="s">
        <v>84</v>
      </c>
      <c r="U10" s="133"/>
      <c r="V10" s="145" t="s">
        <v>85</v>
      </c>
      <c r="W10" s="133"/>
      <c r="Z10" s="95" t="s">
        <v>137</v>
      </c>
      <c r="AA10" s="95" t="s">
        <v>138</v>
      </c>
      <c r="AB10" s="95" t="s">
        <v>139</v>
      </c>
      <c r="AC10" s="95" t="s">
        <v>140</v>
      </c>
      <c r="AD10" s="95" t="s">
        <v>141</v>
      </c>
      <c r="AE10" s="95" t="s">
        <v>142</v>
      </c>
      <c r="AF10" s="95" t="s">
        <v>143</v>
      </c>
      <c r="AG10" s="95" t="s">
        <v>144</v>
      </c>
      <c r="AH10" s="95" t="s">
        <v>145</v>
      </c>
      <c r="AI10" s="95" t="s">
        <v>146</v>
      </c>
      <c r="AJ10" s="95" t="s">
        <v>147</v>
      </c>
      <c r="AK10" s="95" t="s">
        <v>148</v>
      </c>
      <c r="AL10" s="95" t="s">
        <v>149</v>
      </c>
      <c r="AM10" s="95" t="s">
        <v>150</v>
      </c>
      <c r="AN10" s="95" t="s">
        <v>151</v>
      </c>
      <c r="AO10" s="95" t="s">
        <v>152</v>
      </c>
      <c r="AP10" s="95" t="s">
        <v>153</v>
      </c>
      <c r="AQ10" s="95" t="s">
        <v>154</v>
      </c>
    </row>
    <row r="11" s="117" customFormat="true" ht="12" hidden="true" customHeight="true" outlineLevel="0" collapsed="false">
      <c r="D11" s="217" t="s">
        <v>117</v>
      </c>
      <c r="E11" s="217" t="s">
        <v>99</v>
      </c>
      <c r="F11" s="217"/>
      <c r="G11" s="217" t="s">
        <v>86</v>
      </c>
      <c r="H11" s="218" t="s">
        <v>118</v>
      </c>
      <c r="I11" s="218"/>
      <c r="J11" s="217" t="s">
        <v>88</v>
      </c>
      <c r="K11" s="217" t="s">
        <v>89</v>
      </c>
      <c r="L11" s="218" t="s">
        <v>119</v>
      </c>
      <c r="M11" s="218"/>
      <c r="N11" s="217" t="s">
        <v>155</v>
      </c>
      <c r="O11" s="217" t="s">
        <v>156</v>
      </c>
      <c r="P11" s="218" t="s">
        <v>157</v>
      </c>
      <c r="Q11" s="218"/>
      <c r="R11" s="217" t="s">
        <v>158</v>
      </c>
      <c r="S11" s="217" t="s">
        <v>157</v>
      </c>
      <c r="T11" s="218" t="s">
        <v>158</v>
      </c>
      <c r="U11" s="218"/>
      <c r="V11" s="217" t="s">
        <v>159</v>
      </c>
      <c r="W11" s="217" t="s">
        <v>160</v>
      </c>
      <c r="Y11" s="95"/>
      <c r="Z11" s="95"/>
      <c r="AA11" s="95"/>
      <c r="AB11" s="95"/>
      <c r="AC11" s="95"/>
      <c r="AD11" s="95"/>
      <c r="AE11" s="95"/>
      <c r="AF11" s="95"/>
      <c r="AG11" s="95"/>
      <c r="AH11" s="95"/>
      <c r="AI11" s="95"/>
      <c r="AJ11" s="95"/>
      <c r="AK11" s="95"/>
      <c r="AL11" s="95"/>
      <c r="AM11" s="95"/>
      <c r="AN11" s="95"/>
      <c r="AO11" s="95"/>
      <c r="AP11" s="95"/>
      <c r="AQ11" s="95"/>
    </row>
    <row r="12" customFormat="false" ht="14.25" hidden="true" customHeight="true" outlineLevel="0" collapsed="false">
      <c r="C12" s="116"/>
      <c r="D12" s="163" t="n">
        <v>0</v>
      </c>
      <c r="E12" s="145"/>
      <c r="F12" s="145"/>
      <c r="G12" s="145"/>
      <c r="H12" s="219"/>
      <c r="I12" s="219"/>
      <c r="J12" s="197"/>
      <c r="K12" s="197"/>
      <c r="L12" s="197"/>
      <c r="M12" s="197"/>
      <c r="N12" s="220"/>
      <c r="O12" s="197"/>
      <c r="P12" s="197"/>
      <c r="Q12" s="197"/>
      <c r="R12" s="221"/>
      <c r="S12" s="197"/>
      <c r="T12" s="197"/>
      <c r="U12" s="197"/>
      <c r="V12" s="221"/>
      <c r="W12" s="197"/>
    </row>
    <row r="13" s="174" customFormat="true" ht="17.25" hidden="true" customHeight="true" outlineLevel="0" collapsed="false">
      <c r="A13" s="222"/>
      <c r="C13" s="116"/>
      <c r="D13" s="223" t="n">
        <v>1</v>
      </c>
      <c r="E13" s="224" t="s">
        <v>161</v>
      </c>
      <c r="F13" s="225" t="s">
        <v>53</v>
      </c>
      <c r="G13" s="224"/>
      <c r="H13" s="226"/>
      <c r="I13" s="227"/>
      <c r="J13" s="228"/>
      <c r="K13" s="229"/>
      <c r="L13" s="229"/>
      <c r="M13" s="229"/>
      <c r="N13" s="230"/>
      <c r="O13" s="229"/>
      <c r="P13" s="229"/>
      <c r="Q13" s="229"/>
      <c r="R13" s="231"/>
      <c r="S13" s="229"/>
      <c r="T13" s="229"/>
      <c r="U13" s="229"/>
      <c r="V13" s="231"/>
      <c r="W13" s="232"/>
      <c r="Y13" s="233"/>
      <c r="Z13" s="233"/>
      <c r="AA13" s="233"/>
      <c r="AB13" s="233"/>
      <c r="AC13" s="233" t="s">
        <v>162</v>
      </c>
      <c r="AD13" s="233" t="s">
        <v>163</v>
      </c>
      <c r="AE13" s="233" t="s">
        <v>164</v>
      </c>
      <c r="AF13" s="233" t="s">
        <v>165</v>
      </c>
      <c r="AG13" s="233" t="s">
        <v>166</v>
      </c>
      <c r="AH13" s="233"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33" t="str">
        <f aca="false">IF($G$13=0,"",$G$13)</f>
        <v/>
      </c>
      <c r="AJ13" s="233" t="str">
        <f aca="false">IF($J$13=0,"",$J$13)</f>
        <v/>
      </c>
      <c r="AK13" s="233" t="str">
        <f aca="false">IF($K$13="нет","без дифференциации",IF($N$13=0,"",$N$13))</f>
        <v/>
      </c>
      <c r="AL13" s="233" t="str">
        <f aca="false">IF($O$13="нет","без дифференциации",IF($R$13=0,"",$R$13))</f>
        <v/>
      </c>
      <c r="AM13" s="233" t="str">
        <f aca="false">IF($S$13="нет","без дифференциации",IF($V$13=0,"",$V$13))</f>
        <v/>
      </c>
      <c r="AN13" s="233" t="n">
        <f aca="false">$I$13</f>
        <v>0</v>
      </c>
      <c r="AO13" s="233" t="str">
        <f aca="false">$I$13&amp;"."&amp;$M$13</f>
        <v>.</v>
      </c>
      <c r="AP13" s="233" t="str">
        <f aca="false">$I$13&amp;"."&amp;$M$13&amp;"."&amp;$Q$13</f>
        <v>..</v>
      </c>
      <c r="AQ13" s="233" t="str">
        <f aca="false">$I$13&amp;"."&amp;$M$13&amp;"."&amp;$Q$13&amp;"."&amp;$U$13</f>
        <v>...</v>
      </c>
    </row>
    <row r="14" s="174" customFormat="true" ht="17.25" hidden="true" customHeight="true" outlineLevel="0" collapsed="false">
      <c r="A14" s="222"/>
      <c r="D14" s="223"/>
      <c r="E14" s="224"/>
      <c r="F14" s="225"/>
      <c r="G14" s="224"/>
      <c r="H14" s="226"/>
      <c r="I14" s="227"/>
      <c r="J14" s="228"/>
      <c r="K14" s="229"/>
      <c r="L14" s="229"/>
      <c r="M14" s="229"/>
      <c r="N14" s="230"/>
      <c r="O14" s="229"/>
      <c r="P14" s="229"/>
      <c r="Q14" s="229"/>
      <c r="R14" s="231"/>
      <c r="S14" s="229"/>
      <c r="T14" s="234"/>
      <c r="U14" s="234"/>
      <c r="V14" s="234"/>
      <c r="W14" s="235"/>
      <c r="Y14" s="95"/>
      <c r="Z14" s="95"/>
      <c r="AA14" s="95"/>
      <c r="AB14" s="95"/>
      <c r="AC14" s="95"/>
      <c r="AD14" s="95"/>
      <c r="AE14" s="95"/>
      <c r="AF14" s="95"/>
      <c r="AG14" s="95"/>
      <c r="AH14" s="95"/>
      <c r="AI14" s="95"/>
      <c r="AJ14" s="95"/>
      <c r="AK14" s="95"/>
      <c r="AL14" s="95"/>
      <c r="AM14" s="95"/>
      <c r="AN14" s="95"/>
      <c r="AO14" s="95"/>
      <c r="AP14" s="95"/>
      <c r="AQ14" s="95"/>
    </row>
    <row r="15" s="174" customFormat="true" ht="17.25" hidden="true" customHeight="true" outlineLevel="0" collapsed="false">
      <c r="A15" s="222"/>
      <c r="C15" s="116"/>
      <c r="D15" s="223"/>
      <c r="E15" s="224"/>
      <c r="F15" s="225"/>
      <c r="G15" s="224"/>
      <c r="H15" s="226"/>
      <c r="I15" s="227"/>
      <c r="J15" s="228"/>
      <c r="K15" s="229"/>
      <c r="L15" s="229"/>
      <c r="M15" s="229"/>
      <c r="N15" s="230"/>
      <c r="O15" s="229"/>
      <c r="P15" s="113"/>
      <c r="Q15" s="234"/>
      <c r="R15" s="234"/>
      <c r="W15" s="235"/>
      <c r="Y15" s="233"/>
      <c r="Z15" s="233"/>
      <c r="AA15" s="233"/>
      <c r="AB15" s="233"/>
      <c r="AC15" s="233"/>
      <c r="AD15" s="233"/>
      <c r="AE15" s="233"/>
      <c r="AF15" s="233"/>
      <c r="AG15" s="233"/>
      <c r="AH15" s="233"/>
      <c r="AI15" s="233"/>
      <c r="AJ15" s="233"/>
      <c r="AK15" s="233"/>
      <c r="AL15" s="233"/>
      <c r="AM15" s="233"/>
      <c r="AN15" s="233"/>
      <c r="AO15" s="233"/>
      <c r="AP15" s="233"/>
      <c r="AQ15" s="233"/>
    </row>
    <row r="16" s="174" customFormat="true" ht="17.25" hidden="true" customHeight="true" outlineLevel="0" collapsed="false">
      <c r="A16" s="222"/>
      <c r="D16" s="223"/>
      <c r="E16" s="224"/>
      <c r="F16" s="225"/>
      <c r="G16" s="224"/>
      <c r="H16" s="226"/>
      <c r="I16" s="227"/>
      <c r="J16" s="228"/>
      <c r="K16" s="229"/>
      <c r="L16" s="234"/>
      <c r="M16" s="234"/>
      <c r="N16" s="234"/>
      <c r="O16" s="234"/>
      <c r="P16" s="234"/>
      <c r="Q16" s="234"/>
      <c r="R16" s="234"/>
      <c r="W16" s="235"/>
      <c r="Y16" s="95"/>
      <c r="Z16" s="95"/>
      <c r="AA16" s="95"/>
      <c r="AB16" s="95"/>
      <c r="AC16" s="95"/>
      <c r="AD16" s="95"/>
      <c r="AE16" s="95"/>
      <c r="AF16" s="95"/>
      <c r="AG16" s="95"/>
      <c r="AH16" s="95"/>
      <c r="AI16" s="95"/>
      <c r="AJ16" s="95"/>
      <c r="AK16" s="95"/>
      <c r="AL16" s="95"/>
      <c r="AM16" s="95"/>
      <c r="AN16" s="95"/>
      <c r="AO16" s="95"/>
      <c r="AP16" s="95"/>
      <c r="AQ16" s="95"/>
    </row>
    <row r="17" s="174" customFormat="true" ht="17.25" hidden="true" customHeight="true" outlineLevel="0" collapsed="false">
      <c r="A17" s="222"/>
      <c r="D17" s="223"/>
      <c r="E17" s="224"/>
      <c r="F17" s="225"/>
      <c r="G17" s="224"/>
      <c r="H17" s="236"/>
      <c r="I17" s="237"/>
      <c r="J17" s="237"/>
      <c r="K17" s="237"/>
      <c r="L17" s="237"/>
      <c r="M17" s="237"/>
      <c r="N17" s="237"/>
      <c r="O17" s="237"/>
      <c r="P17" s="237"/>
      <c r="Q17" s="237"/>
      <c r="R17" s="237"/>
      <c r="S17" s="238"/>
      <c r="T17" s="238"/>
      <c r="U17" s="238"/>
      <c r="V17" s="238"/>
      <c r="W17" s="239"/>
      <c r="Y17" s="95"/>
      <c r="Z17" s="95"/>
      <c r="AA17" s="95"/>
      <c r="AB17" s="95"/>
      <c r="AC17" s="95"/>
      <c r="AD17" s="95"/>
      <c r="AE17" s="95"/>
      <c r="AF17" s="95"/>
      <c r="AG17" s="95"/>
      <c r="AH17" s="95"/>
      <c r="AI17" s="95"/>
      <c r="AJ17" s="95"/>
      <c r="AK17" s="95"/>
      <c r="AL17" s="95"/>
      <c r="AM17" s="95"/>
      <c r="AN17" s="95"/>
      <c r="AO17" s="95"/>
      <c r="AP17" s="95"/>
      <c r="AQ17" s="95"/>
    </row>
    <row r="18" s="174" customFormat="true" ht="17.25" hidden="true" customHeight="true" outlineLevel="0" collapsed="false">
      <c r="A18" s="222"/>
      <c r="C18" s="116"/>
      <c r="D18" s="223" t="n">
        <v>2</v>
      </c>
      <c r="E18" s="224" t="s">
        <v>167</v>
      </c>
      <c r="F18" s="225" t="s">
        <v>53</v>
      </c>
      <c r="G18" s="224"/>
      <c r="H18" s="226"/>
      <c r="I18" s="227"/>
      <c r="J18" s="228"/>
      <c r="K18" s="229"/>
      <c r="L18" s="229"/>
      <c r="M18" s="229"/>
      <c r="N18" s="230"/>
      <c r="O18" s="229"/>
      <c r="P18" s="229"/>
      <c r="Q18" s="229"/>
      <c r="R18" s="231"/>
      <c r="S18" s="229"/>
      <c r="T18" s="229"/>
      <c r="U18" s="229"/>
      <c r="V18" s="231"/>
      <c r="W18" s="232"/>
      <c r="X18" s="233"/>
      <c r="Y18" s="233"/>
      <c r="Z18" s="233"/>
      <c r="AA18" s="233"/>
      <c r="AB18" s="233"/>
      <c r="AC18" s="233" t="s">
        <v>168</v>
      </c>
      <c r="AD18" s="233" t="s">
        <v>169</v>
      </c>
      <c r="AE18" s="233" t="s">
        <v>170</v>
      </c>
      <c r="AF18" s="233" t="s">
        <v>171</v>
      </c>
      <c r="AG18" s="233" t="s">
        <v>172</v>
      </c>
      <c r="AH18" s="233" t="str">
        <f aca="false">IF($E$18=0,"",$E$18)</f>
        <v>Тарифы на тепловую энергию (мощность), поставляемую теплоснабжающими организациями потребителям, другим теплоснабжающим организациям</v>
      </c>
      <c r="AI18" s="233" t="str">
        <f aca="false">IF($G$18=0,"",$G$18)</f>
        <v/>
      </c>
      <c r="AJ18" s="233" t="str">
        <f aca="false">IF($J$18=0,"",$J$18)</f>
        <v/>
      </c>
      <c r="AK18" s="233" t="str">
        <f aca="false">IF($K$18="нет","без дифференциации",IF($N$18=0,"",$N$18))</f>
        <v/>
      </c>
      <c r="AL18" s="233" t="str">
        <f aca="false">IF($O$18="нет","без дифференциации",IF($R$18=0,"",$R$18))</f>
        <v/>
      </c>
      <c r="AM18" s="233" t="str">
        <f aca="false">IF($S$18="нет","без дифференциации",IF($V$18=0,"",$V$18))</f>
        <v/>
      </c>
      <c r="AN18" s="240" t="n">
        <f aca="false">$I$18</f>
        <v>0</v>
      </c>
      <c r="AO18" s="233" t="str">
        <f aca="false">$I$18&amp;"."&amp;$M$18</f>
        <v>.</v>
      </c>
      <c r="AP18" s="95" t="str">
        <f aca="false">$I$18&amp;"."&amp;$M$18&amp;"."&amp;$Q$18</f>
        <v>..</v>
      </c>
      <c r="AQ18" s="95" t="str">
        <f aca="false">$I$18&amp;"."&amp;$M$18&amp;"."&amp;$Q$18&amp;"."&amp;$U$18</f>
        <v>...</v>
      </c>
    </row>
    <row r="19" s="174" customFormat="true" ht="17.25" hidden="true" customHeight="true" outlineLevel="0" collapsed="false">
      <c r="A19" s="222"/>
      <c r="D19" s="223"/>
      <c r="E19" s="224"/>
      <c r="F19" s="225"/>
      <c r="G19" s="224"/>
      <c r="H19" s="226"/>
      <c r="I19" s="227"/>
      <c r="J19" s="228"/>
      <c r="K19" s="229"/>
      <c r="L19" s="229"/>
      <c r="M19" s="229"/>
      <c r="N19" s="230"/>
      <c r="O19" s="229"/>
      <c r="P19" s="229"/>
      <c r="Q19" s="229"/>
      <c r="R19" s="231"/>
      <c r="S19" s="229"/>
      <c r="T19" s="234"/>
      <c r="U19" s="234"/>
      <c r="V19" s="234"/>
      <c r="W19" s="235"/>
      <c r="X19" s="95"/>
      <c r="Y19" s="95"/>
      <c r="Z19" s="95"/>
      <c r="AA19" s="95"/>
      <c r="AB19" s="95"/>
      <c r="AC19" s="95"/>
      <c r="AD19" s="95"/>
      <c r="AE19" s="95"/>
      <c r="AF19" s="95"/>
      <c r="AG19" s="95"/>
      <c r="AH19" s="95"/>
      <c r="AI19" s="95"/>
      <c r="AJ19" s="95"/>
      <c r="AK19" s="95"/>
      <c r="AL19" s="95"/>
      <c r="AM19" s="95"/>
      <c r="AN19" s="95"/>
      <c r="AO19" s="95"/>
      <c r="AP19" s="95"/>
      <c r="AQ19" s="95"/>
    </row>
    <row r="20" s="174" customFormat="true" ht="17.25" hidden="true" customHeight="true" outlineLevel="0" collapsed="false">
      <c r="A20" s="222"/>
      <c r="D20" s="223"/>
      <c r="E20" s="224"/>
      <c r="F20" s="225"/>
      <c r="G20" s="224"/>
      <c r="H20" s="226"/>
      <c r="I20" s="227"/>
      <c r="J20" s="228"/>
      <c r="K20" s="229"/>
      <c r="L20" s="229"/>
      <c r="M20" s="229"/>
      <c r="N20" s="230"/>
      <c r="O20" s="229"/>
      <c r="P20" s="113"/>
      <c r="Q20" s="234"/>
      <c r="R20" s="234"/>
      <c r="W20" s="235"/>
      <c r="X20" s="95"/>
      <c r="Y20" s="95"/>
      <c r="Z20" s="95"/>
      <c r="AA20" s="95"/>
      <c r="AB20" s="95"/>
      <c r="AC20" s="95"/>
      <c r="AD20" s="95"/>
      <c r="AE20" s="95"/>
      <c r="AF20" s="95"/>
      <c r="AG20" s="95"/>
      <c r="AH20" s="95"/>
      <c r="AI20" s="95"/>
      <c r="AJ20" s="95"/>
      <c r="AK20" s="95"/>
      <c r="AL20" s="95"/>
      <c r="AM20" s="95"/>
      <c r="AN20" s="95"/>
      <c r="AO20" s="95"/>
      <c r="AP20" s="95"/>
      <c r="AQ20" s="95"/>
    </row>
    <row r="21" s="174" customFormat="true" ht="17.25" hidden="true" customHeight="true" outlineLevel="0" collapsed="false">
      <c r="A21" s="222"/>
      <c r="D21" s="223"/>
      <c r="E21" s="224"/>
      <c r="F21" s="225"/>
      <c r="G21" s="224"/>
      <c r="H21" s="226"/>
      <c r="I21" s="227"/>
      <c r="J21" s="228"/>
      <c r="K21" s="229"/>
      <c r="L21" s="234"/>
      <c r="M21" s="234"/>
      <c r="N21" s="234"/>
      <c r="O21" s="234"/>
      <c r="P21" s="234"/>
      <c r="Q21" s="234"/>
      <c r="R21" s="234"/>
      <c r="W21" s="235"/>
      <c r="X21" s="95"/>
      <c r="Y21" s="95"/>
      <c r="Z21" s="95"/>
      <c r="AA21" s="95"/>
      <c r="AB21" s="95"/>
      <c r="AC21" s="95"/>
      <c r="AD21" s="95"/>
      <c r="AE21" s="95"/>
      <c r="AF21" s="95"/>
      <c r="AG21" s="95"/>
      <c r="AH21" s="95"/>
      <c r="AI21" s="95"/>
      <c r="AJ21" s="95"/>
      <c r="AK21" s="95"/>
      <c r="AL21" s="95"/>
      <c r="AM21" s="95"/>
      <c r="AN21" s="95"/>
      <c r="AO21" s="95"/>
      <c r="AP21" s="95"/>
      <c r="AQ21" s="95"/>
    </row>
    <row r="22" s="174" customFormat="true" ht="17.25" hidden="true" customHeight="true" outlineLevel="0" collapsed="false">
      <c r="A22" s="222"/>
      <c r="D22" s="223"/>
      <c r="E22" s="224"/>
      <c r="F22" s="225"/>
      <c r="G22" s="224"/>
      <c r="H22" s="236"/>
      <c r="I22" s="237"/>
      <c r="J22" s="237"/>
      <c r="K22" s="237"/>
      <c r="L22" s="237"/>
      <c r="M22" s="237"/>
      <c r="N22" s="237"/>
      <c r="O22" s="237"/>
      <c r="P22" s="237"/>
      <c r="Q22" s="237"/>
      <c r="R22" s="237"/>
      <c r="S22" s="238"/>
      <c r="T22" s="238"/>
      <c r="U22" s="238"/>
      <c r="V22" s="238"/>
      <c r="W22" s="239"/>
      <c r="X22" s="95"/>
      <c r="Y22" s="95"/>
      <c r="Z22" s="95"/>
      <c r="AA22" s="95"/>
      <c r="AB22" s="95"/>
      <c r="AC22" s="95"/>
      <c r="AD22" s="95"/>
      <c r="AE22" s="95"/>
      <c r="AF22" s="95"/>
      <c r="AG22" s="95"/>
      <c r="AH22" s="95"/>
      <c r="AI22" s="95"/>
      <c r="AJ22" s="95"/>
      <c r="AK22" s="95"/>
      <c r="AL22" s="95"/>
      <c r="AM22" s="95"/>
      <c r="AN22" s="95"/>
      <c r="AO22" s="95"/>
      <c r="AP22" s="95"/>
      <c r="AQ22" s="95"/>
    </row>
    <row r="23" s="174" customFormat="true" ht="17.25" hidden="true" customHeight="true" outlineLevel="0" collapsed="false">
      <c r="A23" s="222"/>
      <c r="C23" s="116"/>
      <c r="D23" s="223" t="n">
        <v>3</v>
      </c>
      <c r="E23" s="224" t="s">
        <v>173</v>
      </c>
      <c r="F23" s="225" t="s">
        <v>53</v>
      </c>
      <c r="G23" s="224"/>
      <c r="H23" s="226"/>
      <c r="I23" s="227"/>
      <c r="J23" s="228"/>
      <c r="K23" s="229"/>
      <c r="L23" s="229"/>
      <c r="M23" s="229"/>
      <c r="N23" s="230"/>
      <c r="O23" s="229"/>
      <c r="P23" s="229"/>
      <c r="Q23" s="229"/>
      <c r="R23" s="231"/>
      <c r="S23" s="229"/>
      <c r="T23" s="229"/>
      <c r="U23" s="229"/>
      <c r="V23" s="231"/>
      <c r="W23" s="232"/>
      <c r="X23" s="233"/>
      <c r="Y23" s="233"/>
      <c r="Z23" s="233"/>
      <c r="AA23" s="233"/>
      <c r="AB23" s="233"/>
      <c r="AC23" s="233" t="s">
        <v>174</v>
      </c>
      <c r="AD23" s="233" t="s">
        <v>175</v>
      </c>
      <c r="AE23" s="233" t="s">
        <v>176</v>
      </c>
      <c r="AF23" s="233" t="s">
        <v>177</v>
      </c>
      <c r="AG23" s="233" t="s">
        <v>178</v>
      </c>
      <c r="AH23" s="233" t="str">
        <f aca="false">IF($E$23=0,"",$E$23)</f>
        <v>Тарифы на теплоноситель, поставляемый теплоснабжающими организациями потребителям, другим теплоснабжающим организациям</v>
      </c>
      <c r="AI23" s="233" t="str">
        <f aca="false">IF($G$23=0,"",$G$23)</f>
        <v/>
      </c>
      <c r="AJ23" s="233" t="str">
        <f aca="false">IF($J$23=0,"",$J$23)</f>
        <v/>
      </c>
      <c r="AK23" s="233" t="str">
        <f aca="false">IF($K$23="нет","без дифференциации",IF($N$23=0,"",$N$23))</f>
        <v/>
      </c>
      <c r="AL23" s="233" t="str">
        <f aca="false">IF($O$23="нет","без дифференциации",IF($R$23=0,"",$R$23))</f>
        <v/>
      </c>
      <c r="AM23" s="233" t="str">
        <f aca="false">IF($S$23="нет","без дифференциации",IF($V$23=0,"",$V$23))</f>
        <v/>
      </c>
      <c r="AN23" s="240" t="n">
        <f aca="false">$I$23</f>
        <v>0</v>
      </c>
      <c r="AO23" s="233" t="str">
        <f aca="false">$I$23&amp;"."&amp;$M$23</f>
        <v>.</v>
      </c>
      <c r="AP23" s="95" t="str">
        <f aca="false">$I$23&amp;"."&amp;$M$23&amp;"."&amp;$Q$23</f>
        <v>..</v>
      </c>
      <c r="AQ23" s="95" t="str">
        <f aca="false">$I$23&amp;"."&amp;$M$23&amp;"."&amp;$Q$23&amp;"."&amp;$U$23</f>
        <v>...</v>
      </c>
    </row>
    <row r="24" s="174" customFormat="true" ht="17.25" hidden="true" customHeight="true" outlineLevel="0" collapsed="false">
      <c r="A24" s="222"/>
      <c r="D24" s="223"/>
      <c r="E24" s="224"/>
      <c r="F24" s="225"/>
      <c r="G24" s="224"/>
      <c r="H24" s="226"/>
      <c r="I24" s="227"/>
      <c r="J24" s="228"/>
      <c r="K24" s="229"/>
      <c r="L24" s="229"/>
      <c r="M24" s="229"/>
      <c r="N24" s="230"/>
      <c r="O24" s="229"/>
      <c r="P24" s="229"/>
      <c r="Q24" s="229"/>
      <c r="R24" s="231"/>
      <c r="S24" s="229"/>
      <c r="T24" s="234"/>
      <c r="U24" s="234"/>
      <c r="V24" s="234"/>
      <c r="W24" s="235"/>
      <c r="X24" s="95"/>
      <c r="Y24" s="95"/>
      <c r="Z24" s="95"/>
      <c r="AA24" s="95"/>
      <c r="AB24" s="95"/>
      <c r="AC24" s="95"/>
      <c r="AD24" s="95"/>
      <c r="AE24" s="95"/>
      <c r="AF24" s="95"/>
      <c r="AG24" s="95"/>
      <c r="AH24" s="95"/>
      <c r="AI24" s="95"/>
      <c r="AJ24" s="95"/>
      <c r="AK24" s="95"/>
      <c r="AL24" s="95"/>
      <c r="AM24" s="95"/>
      <c r="AN24" s="95"/>
      <c r="AO24" s="95"/>
      <c r="AP24" s="95"/>
      <c r="AQ24" s="95"/>
    </row>
    <row r="25" s="174" customFormat="true" ht="17.25" hidden="true" customHeight="true" outlineLevel="0" collapsed="false">
      <c r="A25" s="222"/>
      <c r="D25" s="223"/>
      <c r="E25" s="224"/>
      <c r="F25" s="225"/>
      <c r="G25" s="224"/>
      <c r="H25" s="226"/>
      <c r="I25" s="227"/>
      <c r="J25" s="228"/>
      <c r="K25" s="229"/>
      <c r="L25" s="229"/>
      <c r="M25" s="229"/>
      <c r="N25" s="230"/>
      <c r="O25" s="229"/>
      <c r="P25" s="113"/>
      <c r="Q25" s="234"/>
      <c r="R25" s="234"/>
      <c r="W25" s="235"/>
      <c r="X25" s="95"/>
      <c r="Y25" s="95"/>
      <c r="Z25" s="95"/>
      <c r="AA25" s="95"/>
      <c r="AB25" s="95"/>
      <c r="AC25" s="95"/>
      <c r="AD25" s="95"/>
      <c r="AE25" s="95"/>
      <c r="AF25" s="95"/>
      <c r="AG25" s="95"/>
      <c r="AH25" s="95"/>
      <c r="AI25" s="95"/>
      <c r="AJ25" s="95"/>
      <c r="AK25" s="95"/>
      <c r="AL25" s="95"/>
      <c r="AM25" s="95"/>
      <c r="AN25" s="95"/>
      <c r="AO25" s="95"/>
      <c r="AP25" s="95"/>
      <c r="AQ25" s="95"/>
    </row>
    <row r="26" s="174" customFormat="true" ht="17.25" hidden="true" customHeight="true" outlineLevel="0" collapsed="false">
      <c r="A26" s="222"/>
      <c r="D26" s="223"/>
      <c r="E26" s="224"/>
      <c r="F26" s="225"/>
      <c r="G26" s="224"/>
      <c r="H26" s="226"/>
      <c r="I26" s="227"/>
      <c r="J26" s="228"/>
      <c r="K26" s="229"/>
      <c r="L26" s="234"/>
      <c r="M26" s="234"/>
      <c r="N26" s="234"/>
      <c r="O26" s="234"/>
      <c r="P26" s="234"/>
      <c r="Q26" s="234"/>
      <c r="R26" s="234"/>
      <c r="W26" s="235"/>
      <c r="X26" s="95"/>
      <c r="Y26" s="95"/>
      <c r="Z26" s="95"/>
      <c r="AA26" s="95"/>
      <c r="AB26" s="95"/>
      <c r="AC26" s="95"/>
      <c r="AD26" s="95"/>
      <c r="AE26" s="95"/>
      <c r="AF26" s="95"/>
      <c r="AG26" s="95"/>
      <c r="AH26" s="95"/>
      <c r="AI26" s="95"/>
      <c r="AJ26" s="95"/>
      <c r="AK26" s="95"/>
      <c r="AL26" s="95"/>
      <c r="AM26" s="95"/>
      <c r="AN26" s="95"/>
      <c r="AO26" s="95"/>
      <c r="AP26" s="95"/>
      <c r="AQ26" s="95"/>
    </row>
    <row r="27" s="174" customFormat="true" ht="17.25" hidden="true" customHeight="true" outlineLevel="0" collapsed="false">
      <c r="A27" s="222"/>
      <c r="D27" s="223"/>
      <c r="E27" s="224"/>
      <c r="F27" s="225"/>
      <c r="G27" s="224"/>
      <c r="H27" s="236"/>
      <c r="I27" s="237"/>
      <c r="J27" s="237"/>
      <c r="K27" s="237"/>
      <c r="L27" s="237"/>
      <c r="M27" s="237"/>
      <c r="N27" s="237"/>
      <c r="O27" s="237"/>
      <c r="P27" s="237"/>
      <c r="Q27" s="237"/>
      <c r="R27" s="237"/>
      <c r="S27" s="238"/>
      <c r="T27" s="238"/>
      <c r="U27" s="238"/>
      <c r="V27" s="238"/>
      <c r="W27" s="239"/>
      <c r="X27" s="95"/>
      <c r="Y27" s="95"/>
      <c r="Z27" s="95"/>
      <c r="AA27" s="95"/>
      <c r="AB27" s="95"/>
      <c r="AC27" s="95"/>
      <c r="AD27" s="95"/>
      <c r="AE27" s="95"/>
      <c r="AF27" s="95"/>
      <c r="AG27" s="95"/>
      <c r="AH27" s="95"/>
      <c r="AI27" s="95"/>
      <c r="AJ27" s="95"/>
      <c r="AK27" s="95"/>
      <c r="AL27" s="95"/>
      <c r="AM27" s="95"/>
      <c r="AN27" s="95"/>
      <c r="AO27" s="95"/>
      <c r="AP27" s="95"/>
      <c r="AQ27" s="95"/>
    </row>
    <row r="28" s="174" customFormat="true" ht="17.25" hidden="true" customHeight="true" outlineLevel="0" collapsed="false">
      <c r="A28" s="222"/>
      <c r="C28" s="116"/>
      <c r="D28" s="223" t="n">
        <v>4</v>
      </c>
      <c r="E28" s="224" t="s">
        <v>179</v>
      </c>
      <c r="F28" s="225" t="s">
        <v>53</v>
      </c>
      <c r="G28" s="224"/>
      <c r="H28" s="226"/>
      <c r="I28" s="227"/>
      <c r="J28" s="228"/>
      <c r="K28" s="229"/>
      <c r="L28" s="229"/>
      <c r="M28" s="229"/>
      <c r="N28" s="230"/>
      <c r="O28" s="229"/>
      <c r="P28" s="229"/>
      <c r="Q28" s="229"/>
      <c r="R28" s="231"/>
      <c r="S28" s="229"/>
      <c r="T28" s="229"/>
      <c r="U28" s="229"/>
      <c r="V28" s="231"/>
      <c r="W28" s="232"/>
      <c r="X28" s="233"/>
      <c r="Y28" s="233"/>
      <c r="Z28" s="233"/>
      <c r="AA28" s="233"/>
      <c r="AB28" s="233"/>
      <c r="AC28" s="233" t="s">
        <v>180</v>
      </c>
      <c r="AD28" s="233" t="s">
        <v>181</v>
      </c>
      <c r="AE28" s="233" t="s">
        <v>182</v>
      </c>
      <c r="AF28" s="233" t="s">
        <v>183</v>
      </c>
      <c r="AG28" s="233" t="s">
        <v>184</v>
      </c>
      <c r="AH28" s="233" t="str">
        <f aca="false">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233" t="str">
        <f aca="false">IF($G$28=0,"",$G$28)</f>
        <v/>
      </c>
      <c r="AJ28" s="233" t="str">
        <f aca="false">IF($J$28=0,"",$J$28)</f>
        <v/>
      </c>
      <c r="AK28" s="233" t="str">
        <f aca="false">IF($K$28="нет","без дифференциации",IF($N$28=0,"",$N$28))</f>
        <v/>
      </c>
      <c r="AL28" s="233" t="str">
        <f aca="false">IF($O$28="нет","без дифференциации",IF($R$28=0,"",$R$28))</f>
        <v/>
      </c>
      <c r="AM28" s="233" t="str">
        <f aca="false">IF($S$28="нет","без дифференциации",IF($V$28=0,"",$V$28))</f>
        <v/>
      </c>
      <c r="AN28" s="240" t="n">
        <f aca="false">$I$28</f>
        <v>0</v>
      </c>
      <c r="AO28" s="233" t="str">
        <f aca="false">$I$28&amp;"."&amp;$M$28</f>
        <v>.</v>
      </c>
      <c r="AP28" s="95" t="str">
        <f aca="false">$I$28&amp;"."&amp;$M$28&amp;"."&amp;$Q$28</f>
        <v>..</v>
      </c>
      <c r="AQ28" s="95" t="str">
        <f aca="false">$I$28&amp;"."&amp;$M$28&amp;"."&amp;$Q$28&amp;"."&amp;$U$28</f>
        <v>...</v>
      </c>
    </row>
    <row r="29" s="174" customFormat="true" ht="17.25" hidden="true" customHeight="true" outlineLevel="0" collapsed="false">
      <c r="A29" s="222"/>
      <c r="D29" s="223"/>
      <c r="E29" s="224"/>
      <c r="F29" s="225"/>
      <c r="G29" s="224"/>
      <c r="H29" s="226"/>
      <c r="I29" s="227"/>
      <c r="J29" s="228"/>
      <c r="K29" s="229"/>
      <c r="L29" s="229"/>
      <c r="M29" s="229"/>
      <c r="N29" s="230"/>
      <c r="O29" s="229"/>
      <c r="P29" s="229"/>
      <c r="Q29" s="229"/>
      <c r="R29" s="231"/>
      <c r="S29" s="229"/>
      <c r="T29" s="234"/>
      <c r="U29" s="234"/>
      <c r="V29" s="234"/>
      <c r="W29" s="235"/>
      <c r="X29" s="95"/>
      <c r="Y29" s="95"/>
      <c r="Z29" s="95"/>
      <c r="AA29" s="95"/>
      <c r="AB29" s="95"/>
      <c r="AC29" s="95"/>
      <c r="AD29" s="95"/>
      <c r="AE29" s="95"/>
      <c r="AF29" s="95"/>
      <c r="AG29" s="95"/>
      <c r="AH29" s="95"/>
      <c r="AI29" s="95"/>
      <c r="AJ29" s="95"/>
      <c r="AK29" s="95"/>
      <c r="AL29" s="95"/>
      <c r="AM29" s="95"/>
      <c r="AN29" s="95"/>
      <c r="AO29" s="95"/>
      <c r="AP29" s="95"/>
      <c r="AQ29" s="95"/>
    </row>
    <row r="30" s="174" customFormat="true" ht="17.25" hidden="true" customHeight="true" outlineLevel="0" collapsed="false">
      <c r="A30" s="222"/>
      <c r="D30" s="223"/>
      <c r="E30" s="224"/>
      <c r="F30" s="225"/>
      <c r="G30" s="224"/>
      <c r="H30" s="226"/>
      <c r="I30" s="227"/>
      <c r="J30" s="228"/>
      <c r="K30" s="229"/>
      <c r="L30" s="229"/>
      <c r="M30" s="229"/>
      <c r="N30" s="230"/>
      <c r="O30" s="229"/>
      <c r="P30" s="113"/>
      <c r="Q30" s="234"/>
      <c r="R30" s="234"/>
      <c r="W30" s="235"/>
      <c r="X30" s="95"/>
      <c r="Y30" s="95"/>
      <c r="Z30" s="95"/>
      <c r="AA30" s="95"/>
      <c r="AB30" s="95"/>
      <c r="AC30" s="95"/>
      <c r="AD30" s="95"/>
      <c r="AE30" s="95"/>
      <c r="AF30" s="95"/>
      <c r="AG30" s="95"/>
      <c r="AH30" s="95"/>
      <c r="AI30" s="95"/>
      <c r="AJ30" s="95"/>
      <c r="AK30" s="95"/>
      <c r="AL30" s="95"/>
      <c r="AM30" s="95"/>
      <c r="AN30" s="95"/>
      <c r="AO30" s="95"/>
      <c r="AP30" s="95"/>
      <c r="AQ30" s="95"/>
    </row>
    <row r="31" s="174" customFormat="true" ht="17.25" hidden="true" customHeight="true" outlineLevel="0" collapsed="false">
      <c r="A31" s="222"/>
      <c r="D31" s="223"/>
      <c r="E31" s="224"/>
      <c r="F31" s="225"/>
      <c r="G31" s="224"/>
      <c r="H31" s="226"/>
      <c r="I31" s="227"/>
      <c r="J31" s="228"/>
      <c r="K31" s="229"/>
      <c r="L31" s="234"/>
      <c r="M31" s="234"/>
      <c r="N31" s="234"/>
      <c r="O31" s="234"/>
      <c r="P31" s="234"/>
      <c r="Q31" s="234"/>
      <c r="R31" s="234"/>
      <c r="W31" s="235"/>
      <c r="X31" s="95"/>
      <c r="Y31" s="95"/>
      <c r="Z31" s="95"/>
      <c r="AA31" s="95"/>
      <c r="AB31" s="95"/>
      <c r="AC31" s="95"/>
      <c r="AD31" s="95"/>
      <c r="AE31" s="95"/>
      <c r="AF31" s="95"/>
      <c r="AG31" s="95"/>
      <c r="AH31" s="95"/>
      <c r="AI31" s="95"/>
      <c r="AJ31" s="95"/>
      <c r="AK31" s="95"/>
      <c r="AL31" s="95"/>
      <c r="AM31" s="95"/>
      <c r="AN31" s="95"/>
      <c r="AO31" s="95"/>
      <c r="AP31" s="95"/>
      <c r="AQ31" s="95"/>
    </row>
    <row r="32" s="174" customFormat="true" ht="17.25" hidden="true" customHeight="true" outlineLevel="0" collapsed="false">
      <c r="A32" s="222"/>
      <c r="D32" s="223"/>
      <c r="E32" s="224"/>
      <c r="F32" s="225"/>
      <c r="G32" s="224"/>
      <c r="H32" s="236"/>
      <c r="I32" s="237"/>
      <c r="J32" s="237"/>
      <c r="K32" s="237"/>
      <c r="L32" s="237"/>
      <c r="M32" s="237"/>
      <c r="N32" s="237"/>
      <c r="O32" s="237"/>
      <c r="P32" s="237"/>
      <c r="Q32" s="237"/>
      <c r="R32" s="237"/>
      <c r="S32" s="238"/>
      <c r="T32" s="238"/>
      <c r="U32" s="238"/>
      <c r="V32" s="238"/>
      <c r="W32" s="239"/>
      <c r="X32" s="95"/>
      <c r="Y32" s="95"/>
      <c r="Z32" s="95"/>
      <c r="AA32" s="95"/>
      <c r="AB32" s="95"/>
      <c r="AC32" s="95"/>
      <c r="AD32" s="95"/>
      <c r="AE32" s="95"/>
      <c r="AF32" s="95"/>
      <c r="AG32" s="95"/>
      <c r="AH32" s="95"/>
      <c r="AI32" s="95"/>
      <c r="AJ32" s="95"/>
      <c r="AK32" s="95"/>
      <c r="AL32" s="95"/>
      <c r="AM32" s="95"/>
      <c r="AN32" s="95"/>
      <c r="AO32" s="95"/>
      <c r="AP32" s="95"/>
      <c r="AQ32" s="95"/>
    </row>
    <row r="33" s="174" customFormat="true" ht="17.25" hidden="true" customHeight="true" outlineLevel="0" collapsed="false">
      <c r="A33" s="222"/>
      <c r="C33" s="116"/>
      <c r="D33" s="223" t="n">
        <v>5</v>
      </c>
      <c r="E33" s="224" t="s">
        <v>185</v>
      </c>
      <c r="F33" s="225" t="s">
        <v>53</v>
      </c>
      <c r="G33" s="224"/>
      <c r="H33" s="226"/>
      <c r="I33" s="227"/>
      <c r="J33" s="228"/>
      <c r="K33" s="229"/>
      <c r="L33" s="229"/>
      <c r="M33" s="229"/>
      <c r="N33" s="230"/>
      <c r="O33" s="229"/>
      <c r="P33" s="229"/>
      <c r="Q33" s="229"/>
      <c r="R33" s="231"/>
      <c r="S33" s="229"/>
      <c r="T33" s="229"/>
      <c r="U33" s="229"/>
      <c r="V33" s="231"/>
      <c r="W33" s="232"/>
      <c r="X33" s="233"/>
      <c r="Y33" s="233"/>
      <c r="Z33" s="233"/>
      <c r="AA33" s="233"/>
      <c r="AB33" s="233"/>
      <c r="AC33" s="233" t="s">
        <v>186</v>
      </c>
      <c r="AD33" s="233" t="s">
        <v>187</v>
      </c>
      <c r="AE33" s="233" t="s">
        <v>188</v>
      </c>
      <c r="AF33" s="233" t="s">
        <v>189</v>
      </c>
      <c r="AG33" s="233" t="s">
        <v>190</v>
      </c>
      <c r="AH33" s="233" t="str">
        <f aca="false">IF($E$33=0,"",$E$33)</f>
        <v>Тарифы на услуги по передаче тепловой энергии</v>
      </c>
      <c r="AI33" s="233" t="str">
        <f aca="false">IF($G$33=0,"",$G$33)</f>
        <v/>
      </c>
      <c r="AJ33" s="233" t="str">
        <f aca="false">IF($J$33=0,"",$J$33)</f>
        <v/>
      </c>
      <c r="AK33" s="233" t="str">
        <f aca="false">IF($K$33="нет","без дифференциации",IF($N$33=0,"",$N$33))</f>
        <v/>
      </c>
      <c r="AL33" s="233" t="str">
        <f aca="false">IF($O$33="нет","без дифференциации",IF($R$33=0,"",$R$33))</f>
        <v/>
      </c>
      <c r="AM33" s="233" t="str">
        <f aca="false">IF($S$33="нет","без дифференциации",IF($V$33=0,"",$V$33))</f>
        <v/>
      </c>
      <c r="AN33" s="240" t="n">
        <f aca="false">$I$33</f>
        <v>0</v>
      </c>
      <c r="AO33" s="233" t="str">
        <f aca="false">$I$33&amp;"."&amp;$M$33</f>
        <v>.</v>
      </c>
      <c r="AP33" s="95" t="str">
        <f aca="false">$I$33&amp;"."&amp;$M$33&amp;"."&amp;$Q$33</f>
        <v>..</v>
      </c>
      <c r="AQ33" s="95" t="str">
        <f aca="false">$I$33&amp;"."&amp;$M$33&amp;"."&amp;$Q$33&amp;"."&amp;$U$33</f>
        <v>...</v>
      </c>
    </row>
    <row r="34" s="174" customFormat="true" ht="17.25" hidden="true" customHeight="true" outlineLevel="0" collapsed="false">
      <c r="A34" s="222"/>
      <c r="D34" s="223"/>
      <c r="E34" s="224"/>
      <c r="F34" s="225"/>
      <c r="G34" s="224"/>
      <c r="H34" s="226"/>
      <c r="I34" s="227"/>
      <c r="J34" s="228"/>
      <c r="K34" s="229"/>
      <c r="L34" s="229"/>
      <c r="M34" s="229"/>
      <c r="N34" s="230"/>
      <c r="O34" s="229"/>
      <c r="P34" s="229"/>
      <c r="Q34" s="229"/>
      <c r="R34" s="231"/>
      <c r="S34" s="229"/>
      <c r="T34" s="234"/>
      <c r="U34" s="234"/>
      <c r="V34" s="234"/>
      <c r="W34" s="235"/>
      <c r="X34" s="95"/>
      <c r="Y34" s="95"/>
      <c r="Z34" s="95"/>
      <c r="AA34" s="95"/>
      <c r="AB34" s="95"/>
      <c r="AC34" s="95"/>
      <c r="AD34" s="95"/>
      <c r="AE34" s="95"/>
      <c r="AF34" s="95"/>
      <c r="AG34" s="95"/>
      <c r="AH34" s="95"/>
      <c r="AI34" s="95"/>
      <c r="AJ34" s="95"/>
      <c r="AK34" s="95"/>
      <c r="AL34" s="95"/>
      <c r="AM34" s="95"/>
      <c r="AN34" s="95"/>
      <c r="AO34" s="95"/>
      <c r="AP34" s="95"/>
      <c r="AQ34" s="95"/>
    </row>
    <row r="35" s="174" customFormat="true" ht="17.25" hidden="true" customHeight="true" outlineLevel="0" collapsed="false">
      <c r="A35" s="222"/>
      <c r="D35" s="223"/>
      <c r="E35" s="224"/>
      <c r="F35" s="225"/>
      <c r="G35" s="224"/>
      <c r="H35" s="226"/>
      <c r="I35" s="227"/>
      <c r="J35" s="228"/>
      <c r="K35" s="229"/>
      <c r="L35" s="229"/>
      <c r="M35" s="229"/>
      <c r="N35" s="230"/>
      <c r="O35" s="229"/>
      <c r="P35" s="113"/>
      <c r="Q35" s="234"/>
      <c r="R35" s="234"/>
      <c r="W35" s="235"/>
      <c r="X35" s="95"/>
      <c r="Y35" s="95"/>
      <c r="Z35" s="95"/>
      <c r="AA35" s="95"/>
      <c r="AB35" s="95"/>
      <c r="AC35" s="95"/>
      <c r="AD35" s="95"/>
      <c r="AE35" s="95"/>
      <c r="AF35" s="95"/>
      <c r="AG35" s="95"/>
      <c r="AH35" s="95"/>
      <c r="AI35" s="95"/>
      <c r="AJ35" s="95"/>
      <c r="AK35" s="95"/>
      <c r="AL35" s="95"/>
      <c r="AM35" s="95"/>
      <c r="AN35" s="95"/>
      <c r="AO35" s="95"/>
      <c r="AP35" s="95"/>
      <c r="AQ35" s="95"/>
    </row>
    <row r="36" s="174" customFormat="true" ht="17.25" hidden="true" customHeight="true" outlineLevel="0" collapsed="false">
      <c r="A36" s="222"/>
      <c r="D36" s="223"/>
      <c r="E36" s="224"/>
      <c r="F36" s="225"/>
      <c r="G36" s="224"/>
      <c r="H36" s="226"/>
      <c r="I36" s="227"/>
      <c r="J36" s="228"/>
      <c r="K36" s="229"/>
      <c r="L36" s="234"/>
      <c r="M36" s="234"/>
      <c r="N36" s="234"/>
      <c r="O36" s="234"/>
      <c r="P36" s="234"/>
      <c r="Q36" s="234"/>
      <c r="R36" s="234"/>
      <c r="W36" s="235"/>
      <c r="X36" s="95"/>
      <c r="Y36" s="95"/>
      <c r="Z36" s="95"/>
      <c r="AA36" s="95"/>
      <c r="AB36" s="95"/>
      <c r="AC36" s="95"/>
      <c r="AD36" s="95"/>
      <c r="AE36" s="95"/>
      <c r="AF36" s="95"/>
      <c r="AG36" s="95"/>
      <c r="AH36" s="95"/>
      <c r="AI36" s="95"/>
      <c r="AJ36" s="95"/>
      <c r="AK36" s="95"/>
      <c r="AL36" s="95"/>
      <c r="AM36" s="95"/>
      <c r="AN36" s="95"/>
      <c r="AO36" s="95"/>
      <c r="AP36" s="95"/>
      <c r="AQ36" s="95"/>
    </row>
    <row r="37" s="174" customFormat="true" ht="17.25" hidden="true" customHeight="true" outlineLevel="0" collapsed="false">
      <c r="A37" s="222"/>
      <c r="D37" s="223"/>
      <c r="E37" s="224"/>
      <c r="F37" s="225"/>
      <c r="G37" s="224"/>
      <c r="H37" s="236"/>
      <c r="I37" s="237"/>
      <c r="J37" s="237"/>
      <c r="K37" s="237"/>
      <c r="L37" s="237"/>
      <c r="M37" s="237"/>
      <c r="N37" s="237"/>
      <c r="O37" s="237"/>
      <c r="P37" s="237"/>
      <c r="Q37" s="237"/>
      <c r="R37" s="237"/>
      <c r="S37" s="238"/>
      <c r="T37" s="238"/>
      <c r="U37" s="238"/>
      <c r="V37" s="238"/>
      <c r="W37" s="239"/>
      <c r="X37" s="95"/>
      <c r="Y37" s="95"/>
      <c r="Z37" s="95"/>
      <c r="AA37" s="95"/>
      <c r="AB37" s="95"/>
      <c r="AC37" s="95"/>
      <c r="AD37" s="95"/>
      <c r="AE37" s="95"/>
      <c r="AF37" s="95"/>
      <c r="AG37" s="95"/>
      <c r="AH37" s="95"/>
      <c r="AI37" s="95"/>
      <c r="AJ37" s="95"/>
      <c r="AK37" s="95"/>
      <c r="AL37" s="95"/>
      <c r="AM37" s="95"/>
      <c r="AN37" s="95"/>
      <c r="AO37" s="95"/>
      <c r="AP37" s="95"/>
      <c r="AQ37" s="95"/>
    </row>
    <row r="38" s="174" customFormat="true" ht="17.25" hidden="true" customHeight="true" outlineLevel="0" collapsed="false">
      <c r="A38" s="222"/>
      <c r="C38" s="116"/>
      <c r="D38" s="223" t="n">
        <v>6</v>
      </c>
      <c r="E38" s="224" t="s">
        <v>191</v>
      </c>
      <c r="F38" s="225" t="s">
        <v>53</v>
      </c>
      <c r="G38" s="224"/>
      <c r="H38" s="226"/>
      <c r="I38" s="227"/>
      <c r="J38" s="228"/>
      <c r="K38" s="229"/>
      <c r="L38" s="229"/>
      <c r="M38" s="229"/>
      <c r="N38" s="230"/>
      <c r="O38" s="229"/>
      <c r="P38" s="229"/>
      <c r="Q38" s="229"/>
      <c r="R38" s="231"/>
      <c r="S38" s="229"/>
      <c r="T38" s="229"/>
      <c r="U38" s="229"/>
      <c r="V38" s="231"/>
      <c r="W38" s="232"/>
      <c r="X38" s="233"/>
      <c r="Y38" s="233"/>
      <c r="Z38" s="233"/>
      <c r="AA38" s="233"/>
      <c r="AB38" s="233"/>
      <c r="AC38" s="233" t="s">
        <v>192</v>
      </c>
      <c r="AD38" s="233" t="s">
        <v>193</v>
      </c>
      <c r="AE38" s="233" t="s">
        <v>194</v>
      </c>
      <c r="AF38" s="233" t="s">
        <v>195</v>
      </c>
      <c r="AG38" s="233" t="s">
        <v>196</v>
      </c>
      <c r="AH38" s="233" t="str">
        <f aca="false">IF($E$38=0,"",$E$38)</f>
        <v>Тарифы на услуги по передаче теплоносителя</v>
      </c>
      <c r="AI38" s="233" t="str">
        <f aca="false">IF($G$38=0,"",$G$38)</f>
        <v/>
      </c>
      <c r="AJ38" s="233" t="str">
        <f aca="false">IF($J$38=0,"",$J$38)</f>
        <v/>
      </c>
      <c r="AK38" s="233" t="str">
        <f aca="false">IF($K$38="нет","без дифференциации",IF($N$38=0,"",$N$38))</f>
        <v/>
      </c>
      <c r="AL38" s="233" t="str">
        <f aca="false">IF($O$38="нет","без дифференциации",IF($R$38=0,"",$R$38))</f>
        <v/>
      </c>
      <c r="AM38" s="233" t="str">
        <f aca="false">IF($S$38="нет","без дифференциации",IF($V$38=0,"",$V$38))</f>
        <v/>
      </c>
      <c r="AN38" s="240" t="n">
        <f aca="false">$I$38</f>
        <v>0</v>
      </c>
      <c r="AO38" s="233" t="str">
        <f aca="false">$I$38&amp;"."&amp;$M$38</f>
        <v>.</v>
      </c>
      <c r="AP38" s="95" t="str">
        <f aca="false">$I$38&amp;"."&amp;$M$38&amp;"."&amp;$Q$38</f>
        <v>..</v>
      </c>
      <c r="AQ38" s="95" t="str">
        <f aca="false">$I$38&amp;"."&amp;$M$38&amp;"."&amp;$Q$38&amp;"."&amp;$U$38</f>
        <v>...</v>
      </c>
    </row>
    <row r="39" s="174" customFormat="true" ht="17.25" hidden="true" customHeight="true" outlineLevel="0" collapsed="false">
      <c r="A39" s="222"/>
      <c r="D39" s="223"/>
      <c r="E39" s="224"/>
      <c r="F39" s="225"/>
      <c r="G39" s="224"/>
      <c r="H39" s="226"/>
      <c r="I39" s="227"/>
      <c r="J39" s="228"/>
      <c r="K39" s="229"/>
      <c r="L39" s="229"/>
      <c r="M39" s="229"/>
      <c r="N39" s="230"/>
      <c r="O39" s="229"/>
      <c r="P39" s="229"/>
      <c r="Q39" s="229"/>
      <c r="R39" s="231"/>
      <c r="S39" s="229"/>
      <c r="T39" s="234"/>
      <c r="U39" s="234"/>
      <c r="V39" s="234"/>
      <c r="W39" s="235"/>
      <c r="X39" s="95"/>
      <c r="Y39" s="95"/>
      <c r="Z39" s="95"/>
      <c r="AA39" s="95"/>
      <c r="AB39" s="95"/>
      <c r="AC39" s="95"/>
      <c r="AD39" s="95"/>
      <c r="AE39" s="95"/>
      <c r="AF39" s="95"/>
      <c r="AG39" s="95"/>
      <c r="AH39" s="95"/>
      <c r="AI39" s="95"/>
      <c r="AJ39" s="95"/>
      <c r="AK39" s="95"/>
      <c r="AL39" s="95"/>
      <c r="AM39" s="95"/>
      <c r="AN39" s="95"/>
      <c r="AO39" s="95"/>
      <c r="AP39" s="95"/>
      <c r="AQ39" s="95"/>
    </row>
    <row r="40" s="174" customFormat="true" ht="17.25" hidden="true" customHeight="true" outlineLevel="0" collapsed="false">
      <c r="A40" s="222"/>
      <c r="D40" s="223"/>
      <c r="E40" s="224"/>
      <c r="F40" s="225"/>
      <c r="G40" s="224"/>
      <c r="H40" s="226"/>
      <c r="I40" s="227"/>
      <c r="J40" s="228"/>
      <c r="K40" s="229"/>
      <c r="L40" s="229"/>
      <c r="M40" s="229"/>
      <c r="N40" s="230"/>
      <c r="O40" s="229"/>
      <c r="P40" s="113"/>
      <c r="Q40" s="234"/>
      <c r="R40" s="234"/>
      <c r="W40" s="235"/>
      <c r="X40" s="95"/>
      <c r="Y40" s="95"/>
      <c r="Z40" s="95"/>
      <c r="AA40" s="95"/>
      <c r="AB40" s="95"/>
      <c r="AC40" s="95"/>
      <c r="AD40" s="95"/>
      <c r="AE40" s="95"/>
      <c r="AF40" s="95"/>
      <c r="AG40" s="95"/>
      <c r="AH40" s="95"/>
      <c r="AI40" s="95"/>
      <c r="AJ40" s="95"/>
      <c r="AK40" s="95"/>
      <c r="AL40" s="95"/>
      <c r="AM40" s="95"/>
      <c r="AN40" s="95"/>
      <c r="AO40" s="95"/>
      <c r="AP40" s="95"/>
      <c r="AQ40" s="95"/>
    </row>
    <row r="41" s="174" customFormat="true" ht="17.25" hidden="true" customHeight="true" outlineLevel="0" collapsed="false">
      <c r="A41" s="222"/>
      <c r="C41" s="116"/>
      <c r="D41" s="223"/>
      <c r="E41" s="224"/>
      <c r="F41" s="225"/>
      <c r="G41" s="224"/>
      <c r="H41" s="226"/>
      <c r="I41" s="227"/>
      <c r="J41" s="228"/>
      <c r="K41" s="229"/>
      <c r="L41" s="234"/>
      <c r="M41" s="234"/>
      <c r="N41" s="234"/>
      <c r="O41" s="234"/>
      <c r="P41" s="234"/>
      <c r="Q41" s="234"/>
      <c r="R41" s="234"/>
      <c r="W41" s="235"/>
      <c r="Y41" s="233"/>
      <c r="Z41" s="233"/>
      <c r="AA41" s="233"/>
      <c r="AB41" s="233"/>
      <c r="AC41" s="233"/>
      <c r="AD41" s="233"/>
      <c r="AE41" s="233"/>
      <c r="AF41" s="233"/>
      <c r="AG41" s="233"/>
      <c r="AH41" s="233"/>
      <c r="AI41" s="233"/>
      <c r="AJ41" s="233"/>
      <c r="AK41" s="233"/>
      <c r="AL41" s="233"/>
      <c r="AM41" s="233"/>
      <c r="AN41" s="233"/>
      <c r="AO41" s="233"/>
      <c r="AP41" s="233"/>
      <c r="AQ41" s="233"/>
    </row>
    <row r="42" s="174" customFormat="true" ht="17.25" hidden="true" customHeight="true" outlineLevel="0" collapsed="false">
      <c r="A42" s="222"/>
      <c r="D42" s="223"/>
      <c r="E42" s="224"/>
      <c r="F42" s="225"/>
      <c r="G42" s="224"/>
      <c r="H42" s="236"/>
      <c r="I42" s="237"/>
      <c r="J42" s="237"/>
      <c r="K42" s="237"/>
      <c r="L42" s="237"/>
      <c r="M42" s="237"/>
      <c r="N42" s="237"/>
      <c r="O42" s="237"/>
      <c r="P42" s="237"/>
      <c r="Q42" s="237"/>
      <c r="R42" s="237"/>
      <c r="S42" s="238"/>
      <c r="T42" s="238"/>
      <c r="U42" s="238"/>
      <c r="V42" s="238"/>
      <c r="W42" s="239"/>
      <c r="X42" s="95"/>
      <c r="Y42" s="95"/>
      <c r="Z42" s="95"/>
      <c r="AA42" s="95"/>
      <c r="AB42" s="95"/>
      <c r="AC42" s="95"/>
      <c r="AD42" s="95"/>
      <c r="AE42" s="95"/>
      <c r="AF42" s="95"/>
      <c r="AG42" s="95"/>
      <c r="AH42" s="95"/>
      <c r="AI42" s="95"/>
      <c r="AJ42" s="95"/>
      <c r="AK42" s="95"/>
      <c r="AL42" s="95"/>
      <c r="AM42" s="95"/>
      <c r="AN42" s="95"/>
      <c r="AO42" s="95"/>
      <c r="AP42" s="95"/>
      <c r="AQ42" s="95"/>
    </row>
    <row r="43" s="174" customFormat="true" ht="17.25" hidden="true" customHeight="true" outlineLevel="0" collapsed="false">
      <c r="A43" s="222"/>
      <c r="C43" s="116"/>
      <c r="D43" s="223" t="n">
        <v>7</v>
      </c>
      <c r="E43" s="224" t="s">
        <v>197</v>
      </c>
      <c r="F43" s="225" t="s">
        <v>53</v>
      </c>
      <c r="G43" s="224"/>
      <c r="H43" s="226"/>
      <c r="I43" s="227"/>
      <c r="J43" s="228"/>
      <c r="K43" s="229"/>
      <c r="L43" s="229"/>
      <c r="M43" s="229"/>
      <c r="N43" s="230"/>
      <c r="O43" s="229"/>
      <c r="P43" s="229"/>
      <c r="Q43" s="229"/>
      <c r="R43" s="231"/>
      <c r="S43" s="229"/>
      <c r="T43" s="229"/>
      <c r="U43" s="229"/>
      <c r="V43" s="231"/>
      <c r="W43" s="232"/>
      <c r="X43" s="233"/>
      <c r="Y43" s="233"/>
      <c r="Z43" s="233"/>
      <c r="AA43" s="233"/>
      <c r="AB43" s="233"/>
      <c r="AC43" s="233" t="s">
        <v>198</v>
      </c>
      <c r="AD43" s="233" t="s">
        <v>199</v>
      </c>
      <c r="AE43" s="233" t="s">
        <v>200</v>
      </c>
      <c r="AF43" s="233" t="s">
        <v>201</v>
      </c>
      <c r="AG43" s="233" t="s">
        <v>202</v>
      </c>
      <c r="AH43" s="233" t="str">
        <f aca="false">IF($E$43=0,"",$E$43)</f>
        <v>Плата за услуги по поддержанию резервной тепловой мощности при отсутствии потребления тепловой энергии</v>
      </c>
      <c r="AI43" s="233" t="str">
        <f aca="false">IF($G$43=0,"",$G$43)</f>
        <v/>
      </c>
      <c r="AJ43" s="233" t="str">
        <f aca="false">IF($J$43=0,"",$J$43)</f>
        <v/>
      </c>
      <c r="AK43" s="233" t="str">
        <f aca="false">IF($K$43="нет","без дифференциации",IF($N$43=0,"",$N$43))</f>
        <v/>
      </c>
      <c r="AL43" s="233" t="str">
        <f aca="false">IF($O$43="нет","без дифференциации",IF($R$43=0,"",$R$43))</f>
        <v/>
      </c>
      <c r="AM43" s="233" t="str">
        <f aca="false">IF($S$43="нет","без дифференциации",IF($V$43=0,"",$V$43))</f>
        <v/>
      </c>
      <c r="AN43" s="240" t="n">
        <f aca="false">$I$43</f>
        <v>0</v>
      </c>
      <c r="AO43" s="233" t="str">
        <f aca="false">$I$43&amp;"."&amp;$M$43</f>
        <v>.</v>
      </c>
      <c r="AP43" s="95" t="str">
        <f aca="false">$I$43&amp;"."&amp;$M$43&amp;"."&amp;$Q$43</f>
        <v>..</v>
      </c>
      <c r="AQ43" s="95" t="str">
        <f aca="false">$I$43&amp;"."&amp;$M$43&amp;"."&amp;$Q$43&amp;"."&amp;$U$43</f>
        <v>...</v>
      </c>
    </row>
    <row r="44" s="174" customFormat="true" ht="17.25" hidden="true" customHeight="true" outlineLevel="0" collapsed="false">
      <c r="A44" s="222"/>
      <c r="D44" s="223"/>
      <c r="E44" s="224"/>
      <c r="F44" s="225"/>
      <c r="G44" s="224"/>
      <c r="H44" s="226"/>
      <c r="I44" s="227"/>
      <c r="J44" s="228"/>
      <c r="K44" s="229"/>
      <c r="L44" s="229"/>
      <c r="M44" s="229"/>
      <c r="N44" s="230"/>
      <c r="O44" s="229"/>
      <c r="P44" s="229"/>
      <c r="Q44" s="229"/>
      <c r="R44" s="231"/>
      <c r="S44" s="229"/>
      <c r="T44" s="234"/>
      <c r="U44" s="234"/>
      <c r="V44" s="234"/>
      <c r="W44" s="235"/>
      <c r="X44" s="95"/>
      <c r="Y44" s="95"/>
      <c r="Z44" s="95"/>
      <c r="AA44" s="95"/>
      <c r="AB44" s="95"/>
      <c r="AC44" s="95"/>
      <c r="AD44" s="95"/>
      <c r="AE44" s="95"/>
      <c r="AF44" s="95"/>
      <c r="AG44" s="95"/>
      <c r="AH44" s="95"/>
      <c r="AI44" s="95"/>
      <c r="AJ44" s="95"/>
      <c r="AK44" s="95"/>
      <c r="AL44" s="95"/>
      <c r="AM44" s="95"/>
      <c r="AN44" s="95"/>
      <c r="AO44" s="95"/>
      <c r="AP44" s="95"/>
      <c r="AQ44" s="95"/>
    </row>
    <row r="45" s="174" customFormat="true" ht="17.25" hidden="true" customHeight="true" outlineLevel="0" collapsed="false">
      <c r="A45" s="222"/>
      <c r="D45" s="223"/>
      <c r="E45" s="224"/>
      <c r="F45" s="225"/>
      <c r="G45" s="224"/>
      <c r="H45" s="226"/>
      <c r="I45" s="227"/>
      <c r="J45" s="228"/>
      <c r="K45" s="229"/>
      <c r="L45" s="229"/>
      <c r="M45" s="229"/>
      <c r="N45" s="230"/>
      <c r="O45" s="229"/>
      <c r="P45" s="113"/>
      <c r="Q45" s="234"/>
      <c r="R45" s="234"/>
      <c r="W45" s="235"/>
      <c r="X45" s="95"/>
      <c r="Y45" s="95"/>
      <c r="Z45" s="95"/>
      <c r="AA45" s="95"/>
      <c r="AB45" s="95"/>
      <c r="AC45" s="95"/>
      <c r="AD45" s="95"/>
      <c r="AE45" s="95"/>
      <c r="AF45" s="95"/>
      <c r="AG45" s="95"/>
      <c r="AH45" s="95"/>
      <c r="AI45" s="95"/>
      <c r="AJ45" s="95"/>
      <c r="AK45" s="95"/>
      <c r="AL45" s="95"/>
      <c r="AM45" s="95"/>
      <c r="AN45" s="95"/>
      <c r="AO45" s="95"/>
      <c r="AP45" s="95"/>
      <c r="AQ45" s="95"/>
    </row>
    <row r="46" s="174" customFormat="true" ht="17.25" hidden="true" customHeight="true" outlineLevel="0" collapsed="false">
      <c r="A46" s="222"/>
      <c r="C46" s="116"/>
      <c r="D46" s="223"/>
      <c r="E46" s="224"/>
      <c r="F46" s="225"/>
      <c r="G46" s="224"/>
      <c r="H46" s="226"/>
      <c r="I46" s="227"/>
      <c r="J46" s="228"/>
      <c r="K46" s="229"/>
      <c r="L46" s="234"/>
      <c r="M46" s="234"/>
      <c r="N46" s="234"/>
      <c r="O46" s="234"/>
      <c r="P46" s="234"/>
      <c r="Q46" s="234"/>
      <c r="R46" s="234"/>
      <c r="W46" s="235"/>
      <c r="Y46" s="233"/>
      <c r="Z46" s="233"/>
      <c r="AA46" s="233"/>
      <c r="AB46" s="233"/>
      <c r="AC46" s="233"/>
      <c r="AD46" s="233"/>
      <c r="AE46" s="233"/>
      <c r="AF46" s="233"/>
      <c r="AG46" s="233"/>
      <c r="AH46" s="233"/>
      <c r="AI46" s="233"/>
      <c r="AJ46" s="233"/>
      <c r="AK46" s="233"/>
      <c r="AL46" s="233"/>
      <c r="AM46" s="233"/>
      <c r="AN46" s="233"/>
      <c r="AO46" s="233"/>
      <c r="AP46" s="233"/>
      <c r="AQ46" s="233"/>
    </row>
    <row r="47" s="174" customFormat="true" ht="17.25" hidden="true" customHeight="true" outlineLevel="0" collapsed="false">
      <c r="A47" s="222"/>
      <c r="D47" s="223"/>
      <c r="E47" s="224"/>
      <c r="F47" s="225"/>
      <c r="G47" s="224"/>
      <c r="H47" s="236"/>
      <c r="I47" s="237"/>
      <c r="J47" s="237"/>
      <c r="K47" s="237"/>
      <c r="L47" s="237"/>
      <c r="M47" s="237"/>
      <c r="N47" s="237"/>
      <c r="O47" s="237"/>
      <c r="P47" s="237"/>
      <c r="Q47" s="237"/>
      <c r="R47" s="237"/>
      <c r="S47" s="238"/>
      <c r="T47" s="238"/>
      <c r="U47" s="238"/>
      <c r="V47" s="238"/>
      <c r="W47" s="239"/>
      <c r="X47" s="95"/>
      <c r="Y47" s="95"/>
      <c r="Z47" s="95"/>
      <c r="AA47" s="95"/>
      <c r="AB47" s="95"/>
      <c r="AC47" s="95"/>
      <c r="AD47" s="95"/>
      <c r="AE47" s="95"/>
      <c r="AF47" s="95"/>
      <c r="AG47" s="95"/>
      <c r="AH47" s="95"/>
      <c r="AI47" s="95"/>
      <c r="AJ47" s="95"/>
      <c r="AK47" s="95"/>
      <c r="AL47" s="95"/>
      <c r="AM47" s="95"/>
      <c r="AN47" s="95"/>
      <c r="AO47" s="95"/>
      <c r="AP47" s="95"/>
      <c r="AQ47" s="95"/>
    </row>
    <row r="48" s="174" customFormat="true" ht="17.25" hidden="true" customHeight="true" outlineLevel="0" collapsed="false">
      <c r="A48" s="222"/>
      <c r="C48" s="116"/>
      <c r="D48" s="223" t="n">
        <v>8</v>
      </c>
      <c r="E48" s="224" t="s">
        <v>203</v>
      </c>
      <c r="F48" s="225" t="s">
        <v>53</v>
      </c>
      <c r="G48" s="224"/>
      <c r="H48" s="226"/>
      <c r="I48" s="227"/>
      <c r="J48" s="228"/>
      <c r="K48" s="229"/>
      <c r="L48" s="229"/>
      <c r="M48" s="229"/>
      <c r="N48" s="230"/>
      <c r="O48" s="229"/>
      <c r="P48" s="229"/>
      <c r="Q48" s="229"/>
      <c r="R48" s="231"/>
      <c r="S48" s="229"/>
      <c r="T48" s="229"/>
      <c r="U48" s="229"/>
      <c r="V48" s="231"/>
      <c r="W48" s="232"/>
      <c r="X48" s="233"/>
      <c r="Y48" s="233"/>
      <c r="Z48" s="233"/>
      <c r="AA48" s="233"/>
      <c r="AB48" s="233"/>
      <c r="AC48" s="233" t="s">
        <v>204</v>
      </c>
      <c r="AD48" s="233" t="s">
        <v>205</v>
      </c>
      <c r="AE48" s="233" t="s">
        <v>206</v>
      </c>
      <c r="AF48" s="233" t="s">
        <v>207</v>
      </c>
      <c r="AG48" s="233" t="s">
        <v>208</v>
      </c>
      <c r="AH48" s="233" t="str">
        <f aca="false">IF($E$48=0,"",$E$48)</f>
        <v>Плата за подключение (технологическое присоединение) к системе теплоснабжения</v>
      </c>
      <c r="AI48" s="233" t="str">
        <f aca="false">IF($G$48=0,"",$G$48)</f>
        <v/>
      </c>
      <c r="AJ48" s="233" t="str">
        <f aca="false">IF($J$48=0,"",$J$48)</f>
        <v/>
      </c>
      <c r="AK48" s="233" t="str">
        <f aca="false">IF($K$48="нет","без дифференциации",IF($N$48=0,"",$N$48))</f>
        <v/>
      </c>
      <c r="AL48" s="233" t="str">
        <f aca="false">IF($O$48="нет","без дифференциации",IF($R$48=0,"",$R$48))</f>
        <v/>
      </c>
      <c r="AM48" s="233" t="str">
        <f aca="false">IF($S$48="нет","без дифференциации",IF($V$48=0,"",$V$48))</f>
        <v/>
      </c>
      <c r="AN48" s="240" t="n">
        <f aca="false">$I$48</f>
        <v>0</v>
      </c>
      <c r="AO48" s="233" t="str">
        <f aca="false">$I$48&amp;"."&amp;$M$48</f>
        <v>.</v>
      </c>
      <c r="AP48" s="95" t="str">
        <f aca="false">$I$48&amp;"."&amp;$M$48&amp;"."&amp;$Q$48</f>
        <v>..</v>
      </c>
      <c r="AQ48" s="95" t="str">
        <f aca="false">$I$48&amp;"."&amp;$M$48&amp;"."&amp;$Q$48&amp;"."&amp;$U$48</f>
        <v>...</v>
      </c>
    </row>
    <row r="49" s="174" customFormat="true" ht="17.25" hidden="true" customHeight="true" outlineLevel="0" collapsed="false">
      <c r="A49" s="222"/>
      <c r="D49" s="223"/>
      <c r="E49" s="224"/>
      <c r="F49" s="225"/>
      <c r="G49" s="224"/>
      <c r="H49" s="226"/>
      <c r="I49" s="227"/>
      <c r="J49" s="228"/>
      <c r="K49" s="229"/>
      <c r="L49" s="229"/>
      <c r="M49" s="229"/>
      <c r="N49" s="230"/>
      <c r="O49" s="229"/>
      <c r="P49" s="229"/>
      <c r="Q49" s="229"/>
      <c r="R49" s="231"/>
      <c r="S49" s="229"/>
      <c r="T49" s="234"/>
      <c r="U49" s="234"/>
      <c r="V49" s="234"/>
      <c r="W49" s="235"/>
      <c r="X49" s="95"/>
      <c r="Y49" s="95"/>
      <c r="Z49" s="95"/>
      <c r="AA49" s="95"/>
      <c r="AB49" s="95"/>
      <c r="AC49" s="95"/>
      <c r="AD49" s="95"/>
      <c r="AE49" s="95"/>
      <c r="AF49" s="95"/>
      <c r="AG49" s="95"/>
      <c r="AH49" s="95"/>
      <c r="AI49" s="95"/>
      <c r="AJ49" s="95"/>
      <c r="AK49" s="95"/>
      <c r="AL49" s="95"/>
      <c r="AM49" s="95"/>
      <c r="AN49" s="95"/>
      <c r="AO49" s="95"/>
      <c r="AP49" s="95"/>
      <c r="AQ49" s="95"/>
    </row>
    <row r="50" s="174" customFormat="true" ht="17.25" hidden="true" customHeight="true" outlineLevel="0" collapsed="false">
      <c r="A50" s="222"/>
      <c r="D50" s="223"/>
      <c r="E50" s="224"/>
      <c r="F50" s="225"/>
      <c r="G50" s="224"/>
      <c r="H50" s="226"/>
      <c r="I50" s="227"/>
      <c r="J50" s="228"/>
      <c r="K50" s="229"/>
      <c r="L50" s="229"/>
      <c r="M50" s="229"/>
      <c r="N50" s="230"/>
      <c r="O50" s="229"/>
      <c r="P50" s="113"/>
      <c r="Q50" s="234"/>
      <c r="R50" s="234"/>
      <c r="W50" s="235"/>
      <c r="X50" s="95"/>
      <c r="Y50" s="95"/>
      <c r="Z50" s="95"/>
      <c r="AA50" s="95"/>
      <c r="AB50" s="95"/>
      <c r="AC50" s="95"/>
      <c r="AD50" s="95"/>
      <c r="AE50" s="95"/>
      <c r="AF50" s="95"/>
      <c r="AG50" s="95"/>
      <c r="AH50" s="95"/>
      <c r="AI50" s="95"/>
      <c r="AJ50" s="95"/>
      <c r="AK50" s="95"/>
      <c r="AL50" s="95"/>
      <c r="AM50" s="95"/>
      <c r="AN50" s="95"/>
      <c r="AO50" s="95"/>
      <c r="AP50" s="95"/>
      <c r="AQ50" s="95"/>
    </row>
    <row r="51" s="174" customFormat="true" ht="17.25" hidden="true" customHeight="true" outlineLevel="0" collapsed="false">
      <c r="A51" s="222"/>
      <c r="C51" s="116"/>
      <c r="D51" s="223"/>
      <c r="E51" s="224"/>
      <c r="F51" s="225"/>
      <c r="G51" s="224"/>
      <c r="H51" s="226"/>
      <c r="I51" s="227"/>
      <c r="J51" s="228"/>
      <c r="K51" s="229"/>
      <c r="L51" s="234"/>
      <c r="M51" s="234"/>
      <c r="N51" s="234"/>
      <c r="O51" s="234"/>
      <c r="P51" s="234"/>
      <c r="Q51" s="234"/>
      <c r="R51" s="234"/>
      <c r="W51" s="235"/>
      <c r="Y51" s="233"/>
      <c r="Z51" s="233"/>
      <c r="AA51" s="233"/>
      <c r="AB51" s="233"/>
      <c r="AC51" s="233"/>
      <c r="AD51" s="233"/>
      <c r="AE51" s="233"/>
      <c r="AF51" s="233"/>
      <c r="AG51" s="233"/>
      <c r="AH51" s="233"/>
      <c r="AI51" s="233"/>
      <c r="AJ51" s="233"/>
      <c r="AK51" s="233"/>
      <c r="AL51" s="233"/>
      <c r="AM51" s="233"/>
      <c r="AN51" s="233"/>
      <c r="AO51" s="233"/>
      <c r="AP51" s="233"/>
      <c r="AQ51" s="233"/>
    </row>
    <row r="52" s="174" customFormat="true" ht="17.25" hidden="true" customHeight="true" outlineLevel="0" collapsed="false">
      <c r="A52" s="222"/>
      <c r="D52" s="223"/>
      <c r="E52" s="224"/>
      <c r="F52" s="225"/>
      <c r="G52" s="224"/>
      <c r="H52" s="236"/>
      <c r="I52" s="237"/>
      <c r="J52" s="237"/>
      <c r="K52" s="237"/>
      <c r="L52" s="237"/>
      <c r="M52" s="237"/>
      <c r="N52" s="237"/>
      <c r="O52" s="237"/>
      <c r="P52" s="237"/>
      <c r="Q52" s="237"/>
      <c r="R52" s="237"/>
      <c r="S52" s="238"/>
      <c r="T52" s="238"/>
      <c r="U52" s="238"/>
      <c r="V52" s="238"/>
      <c r="W52" s="239"/>
      <c r="X52" s="95"/>
      <c r="Y52" s="95"/>
      <c r="Z52" s="95"/>
      <c r="AA52" s="95"/>
      <c r="AB52" s="95"/>
      <c r="AC52" s="95"/>
      <c r="AD52" s="95"/>
      <c r="AE52" s="95"/>
      <c r="AF52" s="95"/>
      <c r="AG52" s="95"/>
      <c r="AH52" s="95"/>
      <c r="AI52" s="95"/>
      <c r="AJ52" s="95"/>
      <c r="AK52" s="95"/>
      <c r="AL52" s="95"/>
      <c r="AM52" s="95"/>
      <c r="AN52" s="95"/>
      <c r="AO52" s="95"/>
      <c r="AP52" s="95"/>
      <c r="AQ52" s="95"/>
    </row>
    <row r="53" s="174" customFormat="true" ht="17.25" hidden="true" customHeight="true" outlineLevel="0" collapsed="false">
      <c r="A53" s="222"/>
      <c r="C53" s="116"/>
      <c r="D53" s="223" t="n">
        <v>9</v>
      </c>
      <c r="E53" s="224" t="s">
        <v>209</v>
      </c>
      <c r="F53" s="225" t="s">
        <v>53</v>
      </c>
      <c r="G53" s="224"/>
      <c r="H53" s="226"/>
      <c r="I53" s="227"/>
      <c r="J53" s="228"/>
      <c r="K53" s="229"/>
      <c r="L53" s="229"/>
      <c r="M53" s="229"/>
      <c r="N53" s="230"/>
      <c r="O53" s="229"/>
      <c r="P53" s="229"/>
      <c r="Q53" s="229"/>
      <c r="R53" s="231"/>
      <c r="S53" s="229"/>
      <c r="T53" s="229"/>
      <c r="U53" s="229"/>
      <c r="V53" s="231"/>
      <c r="W53" s="232"/>
      <c r="X53" s="233"/>
      <c r="Y53" s="233"/>
      <c r="Z53" s="233"/>
      <c r="AA53" s="233"/>
      <c r="AB53" s="233"/>
      <c r="AC53" s="233" t="s">
        <v>210</v>
      </c>
      <c r="AD53" s="233" t="s">
        <v>211</v>
      </c>
      <c r="AE53" s="233" t="s">
        <v>212</v>
      </c>
      <c r="AF53" s="233" t="s">
        <v>213</v>
      </c>
      <c r="AG53" s="233" t="s">
        <v>214</v>
      </c>
      <c r="AH53" s="233" t="str">
        <f aca="false">IF($E$53=0,"",$E$53)</f>
        <v>Плата за подключение к системе теплоснабжения (индивидуальная)</v>
      </c>
      <c r="AI53" s="233" t="str">
        <f aca="false">IF($G$53=0,"",$G$53)</f>
        <v/>
      </c>
      <c r="AJ53" s="233" t="str">
        <f aca="false">IF($J$53=0,"",$J$53)</f>
        <v/>
      </c>
      <c r="AK53" s="233" t="str">
        <f aca="false">IF($K$53="нет","без дифференциации",IF($N$53=0,"",$N$53))</f>
        <v/>
      </c>
      <c r="AL53" s="233" t="str">
        <f aca="false">IF($O$53="нет","без дифференциации",IF($R$53=0,"",$R$53))</f>
        <v/>
      </c>
      <c r="AM53" s="233" t="str">
        <f aca="false">IF($S$53="нет","без дифференциации",IF($V$53=0,"",$V$53))</f>
        <v/>
      </c>
      <c r="AN53" s="240" t="n">
        <f aca="false">$I$53</f>
        <v>0</v>
      </c>
      <c r="AO53" s="233" t="str">
        <f aca="false">$I$53&amp;"."&amp;$M$53</f>
        <v>.</v>
      </c>
      <c r="AP53" s="95" t="str">
        <f aca="false">$I$53&amp;"."&amp;$M$53&amp;"."&amp;$Q$53</f>
        <v>..</v>
      </c>
      <c r="AQ53" s="95" t="str">
        <f aca="false">$I$53&amp;"."&amp;$M$53&amp;"."&amp;$Q$53&amp;"."&amp;$U$53</f>
        <v>...</v>
      </c>
    </row>
    <row r="54" s="174" customFormat="true" ht="17.25" hidden="true" customHeight="true" outlineLevel="0" collapsed="false">
      <c r="A54" s="222"/>
      <c r="D54" s="223"/>
      <c r="E54" s="224"/>
      <c r="F54" s="225"/>
      <c r="G54" s="224"/>
      <c r="H54" s="226"/>
      <c r="I54" s="227"/>
      <c r="J54" s="228"/>
      <c r="K54" s="229"/>
      <c r="L54" s="229"/>
      <c r="M54" s="229"/>
      <c r="N54" s="230"/>
      <c r="O54" s="229"/>
      <c r="P54" s="229"/>
      <c r="Q54" s="229"/>
      <c r="R54" s="231"/>
      <c r="S54" s="229"/>
      <c r="T54" s="234"/>
      <c r="U54" s="234"/>
      <c r="V54" s="234"/>
      <c r="W54" s="235"/>
      <c r="X54" s="95"/>
      <c r="Y54" s="95"/>
      <c r="Z54" s="95"/>
      <c r="AA54" s="95"/>
      <c r="AB54" s="95"/>
      <c r="AC54" s="95"/>
      <c r="AD54" s="95"/>
      <c r="AE54" s="95"/>
      <c r="AF54" s="95"/>
      <c r="AG54" s="95"/>
      <c r="AH54" s="95"/>
      <c r="AI54" s="95"/>
      <c r="AJ54" s="95"/>
      <c r="AK54" s="95"/>
      <c r="AL54" s="95"/>
      <c r="AM54" s="95"/>
      <c r="AN54" s="95"/>
      <c r="AO54" s="95"/>
      <c r="AP54" s="95"/>
      <c r="AQ54" s="95"/>
    </row>
    <row r="55" s="174" customFormat="true" ht="17.25" hidden="true" customHeight="true" outlineLevel="0" collapsed="false">
      <c r="A55" s="222"/>
      <c r="D55" s="223"/>
      <c r="E55" s="224"/>
      <c r="F55" s="225"/>
      <c r="G55" s="224"/>
      <c r="H55" s="226"/>
      <c r="I55" s="227"/>
      <c r="J55" s="228"/>
      <c r="K55" s="229"/>
      <c r="L55" s="229"/>
      <c r="M55" s="229"/>
      <c r="N55" s="230"/>
      <c r="O55" s="229"/>
      <c r="P55" s="113"/>
      <c r="Q55" s="234"/>
      <c r="R55" s="234"/>
      <c r="W55" s="235"/>
      <c r="X55" s="95"/>
      <c r="Y55" s="95"/>
      <c r="Z55" s="95"/>
      <c r="AA55" s="95"/>
      <c r="AB55" s="95"/>
      <c r="AC55" s="95"/>
      <c r="AD55" s="95"/>
      <c r="AE55" s="95"/>
      <c r="AF55" s="95"/>
      <c r="AG55" s="95"/>
      <c r="AH55" s="95"/>
      <c r="AI55" s="95"/>
      <c r="AJ55" s="95"/>
      <c r="AK55" s="95"/>
      <c r="AL55" s="95"/>
      <c r="AM55" s="95"/>
      <c r="AN55" s="95"/>
      <c r="AO55" s="95"/>
      <c r="AP55" s="95"/>
      <c r="AQ55" s="95"/>
    </row>
    <row r="56" s="174" customFormat="true" ht="17.25" hidden="true" customHeight="true" outlineLevel="0" collapsed="false">
      <c r="A56" s="222"/>
      <c r="C56" s="116"/>
      <c r="D56" s="223"/>
      <c r="E56" s="224"/>
      <c r="F56" s="225"/>
      <c r="G56" s="224"/>
      <c r="H56" s="226"/>
      <c r="I56" s="227"/>
      <c r="J56" s="228"/>
      <c r="K56" s="229"/>
      <c r="L56" s="234"/>
      <c r="M56" s="234"/>
      <c r="N56" s="234"/>
      <c r="O56" s="234"/>
      <c r="P56" s="234"/>
      <c r="Q56" s="234"/>
      <c r="R56" s="234"/>
      <c r="W56" s="235"/>
      <c r="Y56" s="233"/>
      <c r="Z56" s="233"/>
      <c r="AA56" s="233"/>
      <c r="AB56" s="233"/>
      <c r="AC56" s="233"/>
      <c r="AD56" s="233"/>
      <c r="AE56" s="233"/>
      <c r="AF56" s="233"/>
      <c r="AG56" s="233"/>
      <c r="AH56" s="233"/>
      <c r="AI56" s="233"/>
      <c r="AJ56" s="233"/>
      <c r="AK56" s="233"/>
      <c r="AL56" s="233"/>
      <c r="AM56" s="233"/>
      <c r="AN56" s="233"/>
      <c r="AO56" s="233"/>
      <c r="AP56" s="233"/>
      <c r="AQ56" s="233"/>
    </row>
    <row r="57" s="174" customFormat="true" ht="17.25" hidden="true" customHeight="true" outlineLevel="0" collapsed="false">
      <c r="A57" s="222"/>
      <c r="D57" s="223"/>
      <c r="E57" s="224"/>
      <c r="F57" s="225"/>
      <c r="G57" s="224"/>
      <c r="H57" s="236"/>
      <c r="I57" s="237"/>
      <c r="J57" s="237"/>
      <c r="K57" s="237"/>
      <c r="L57" s="237"/>
      <c r="M57" s="237"/>
      <c r="N57" s="237"/>
      <c r="O57" s="237"/>
      <c r="P57" s="237"/>
      <c r="Q57" s="237"/>
      <c r="R57" s="237"/>
      <c r="S57" s="238"/>
      <c r="T57" s="238"/>
      <c r="U57" s="238"/>
      <c r="V57" s="238"/>
      <c r="W57" s="239"/>
      <c r="X57" s="95"/>
      <c r="Y57" s="95"/>
      <c r="Z57" s="95"/>
      <c r="AA57" s="95"/>
      <c r="AB57" s="95"/>
      <c r="AC57" s="95"/>
      <c r="AD57" s="95"/>
      <c r="AE57" s="95"/>
      <c r="AF57" s="95"/>
      <c r="AG57" s="95"/>
      <c r="AH57" s="95"/>
      <c r="AI57" s="95"/>
      <c r="AJ57" s="95"/>
      <c r="AK57" s="95"/>
      <c r="AL57" s="95"/>
      <c r="AM57" s="95"/>
      <c r="AN57" s="95"/>
      <c r="AO57" s="95"/>
      <c r="AP57" s="95"/>
      <c r="AQ57" s="95"/>
    </row>
    <row r="58" s="174" customFormat="true" ht="17.25" hidden="true" customHeight="true" outlineLevel="0" collapsed="false">
      <c r="A58" s="222"/>
      <c r="C58" s="116"/>
      <c r="D58" s="223" t="n">
        <v>10</v>
      </c>
      <c r="E58" s="224" t="s">
        <v>215</v>
      </c>
      <c r="F58" s="225" t="s">
        <v>53</v>
      </c>
      <c r="G58" s="224"/>
      <c r="H58" s="226"/>
      <c r="I58" s="227"/>
      <c r="J58" s="228"/>
      <c r="K58" s="229"/>
      <c r="L58" s="229"/>
      <c r="M58" s="229"/>
      <c r="N58" s="230"/>
      <c r="O58" s="229"/>
      <c r="P58" s="229"/>
      <c r="Q58" s="229"/>
      <c r="R58" s="231"/>
      <c r="S58" s="229"/>
      <c r="T58" s="229"/>
      <c r="U58" s="229"/>
      <c r="V58" s="231"/>
      <c r="W58" s="232"/>
      <c r="X58" s="233"/>
      <c r="Y58" s="233"/>
      <c r="Z58" s="233"/>
      <c r="AA58" s="233"/>
      <c r="AB58" s="233"/>
      <c r="AC58" s="233" t="s">
        <v>216</v>
      </c>
      <c r="AD58" s="233" t="s">
        <v>217</v>
      </c>
      <c r="AE58" s="233" t="s">
        <v>218</v>
      </c>
      <c r="AF58" s="233" t="s">
        <v>219</v>
      </c>
      <c r="AG58" s="233" t="s">
        <v>220</v>
      </c>
      <c r="AH58" s="233" t="str">
        <f aca="false">IF($E$58=0,"",$E$58)</f>
        <v>Предельный уровень цены на тепловую энергию (мощность), поставляемую теплоснабжающими организациями потребителям</v>
      </c>
      <c r="AI58" s="233" t="str">
        <f aca="false">IF($G$58=0,"",$G$58)</f>
        <v/>
      </c>
      <c r="AJ58" s="233" t="str">
        <f aca="false">IF($J$58=0,"",$J$58)</f>
        <v/>
      </c>
      <c r="AK58" s="233" t="str">
        <f aca="false">IF($K$58="нет","без дифференциации",IF($N$58=0,"",$N$58))</f>
        <v/>
      </c>
      <c r="AL58" s="233" t="str">
        <f aca="false">IF($O$58="нет","без дифференциации",IF($R$58=0,"",$R$58))</f>
        <v/>
      </c>
      <c r="AM58" s="233" t="str">
        <f aca="false">IF($S$58="нет","без дифференциации",IF($V$58=0,"",$V$58))</f>
        <v/>
      </c>
      <c r="AN58" s="240" t="n">
        <f aca="false">$I$58</f>
        <v>0</v>
      </c>
      <c r="AO58" s="233" t="str">
        <f aca="false">$I$58&amp;"."&amp;$M$58</f>
        <v>.</v>
      </c>
      <c r="AP58" s="95" t="str">
        <f aca="false">$I$58&amp;"."&amp;$M$58&amp;"."&amp;$Q$58</f>
        <v>..</v>
      </c>
      <c r="AQ58" s="95" t="str">
        <f aca="false">$I$58&amp;"."&amp;$M$58&amp;"."&amp;$Q$58&amp;"."&amp;$U$58</f>
        <v>...</v>
      </c>
    </row>
    <row r="59" s="174" customFormat="true" ht="17.25" hidden="true" customHeight="true" outlineLevel="0" collapsed="false">
      <c r="A59" s="222"/>
      <c r="D59" s="223"/>
      <c r="E59" s="224"/>
      <c r="F59" s="225"/>
      <c r="G59" s="224"/>
      <c r="H59" s="226"/>
      <c r="I59" s="227"/>
      <c r="J59" s="228"/>
      <c r="K59" s="229"/>
      <c r="L59" s="229"/>
      <c r="M59" s="229"/>
      <c r="N59" s="230"/>
      <c r="O59" s="229"/>
      <c r="P59" s="229"/>
      <c r="Q59" s="229"/>
      <c r="R59" s="231"/>
      <c r="S59" s="229"/>
      <c r="T59" s="234"/>
      <c r="U59" s="234"/>
      <c r="V59" s="234"/>
      <c r="W59" s="235"/>
      <c r="X59" s="95"/>
      <c r="Y59" s="95"/>
      <c r="Z59" s="95"/>
      <c r="AA59" s="95"/>
      <c r="AB59" s="95"/>
      <c r="AC59" s="95"/>
      <c r="AD59" s="95"/>
      <c r="AE59" s="95"/>
      <c r="AF59" s="95"/>
      <c r="AG59" s="95"/>
      <c r="AH59" s="95"/>
      <c r="AI59" s="95"/>
      <c r="AJ59" s="95"/>
      <c r="AK59" s="95"/>
      <c r="AL59" s="95"/>
      <c r="AM59" s="95"/>
      <c r="AN59" s="95"/>
      <c r="AO59" s="95"/>
      <c r="AP59" s="95"/>
      <c r="AQ59" s="95"/>
    </row>
    <row r="60" s="174" customFormat="true" ht="17.25" hidden="true" customHeight="true" outlineLevel="0" collapsed="false">
      <c r="A60" s="222"/>
      <c r="D60" s="223"/>
      <c r="E60" s="224"/>
      <c r="F60" s="225"/>
      <c r="G60" s="224"/>
      <c r="H60" s="226"/>
      <c r="I60" s="227"/>
      <c r="J60" s="228"/>
      <c r="K60" s="229"/>
      <c r="L60" s="229"/>
      <c r="M60" s="229"/>
      <c r="N60" s="230"/>
      <c r="O60" s="229"/>
      <c r="P60" s="113"/>
      <c r="Q60" s="234"/>
      <c r="R60" s="234"/>
      <c r="W60" s="235"/>
      <c r="X60" s="95"/>
      <c r="Y60" s="95"/>
      <c r="Z60" s="95"/>
      <c r="AA60" s="95"/>
      <c r="AB60" s="95"/>
      <c r="AC60" s="95"/>
      <c r="AD60" s="95"/>
      <c r="AE60" s="95"/>
      <c r="AF60" s="95"/>
      <c r="AG60" s="95"/>
      <c r="AH60" s="95"/>
      <c r="AI60" s="95"/>
      <c r="AJ60" s="95"/>
      <c r="AK60" s="95"/>
      <c r="AL60" s="95"/>
      <c r="AM60" s="95"/>
      <c r="AN60" s="95"/>
      <c r="AO60" s="95"/>
      <c r="AP60" s="95"/>
      <c r="AQ60" s="95"/>
    </row>
    <row r="61" s="174" customFormat="true" ht="17.25" hidden="true" customHeight="true" outlineLevel="0" collapsed="false">
      <c r="A61" s="222"/>
      <c r="C61" s="116"/>
      <c r="D61" s="223"/>
      <c r="E61" s="224"/>
      <c r="F61" s="225"/>
      <c r="G61" s="224"/>
      <c r="H61" s="226"/>
      <c r="I61" s="227"/>
      <c r="J61" s="228"/>
      <c r="K61" s="229"/>
      <c r="L61" s="234"/>
      <c r="M61" s="234"/>
      <c r="N61" s="234"/>
      <c r="O61" s="234"/>
      <c r="P61" s="234"/>
      <c r="Q61" s="234"/>
      <c r="R61" s="234"/>
      <c r="W61" s="235"/>
      <c r="Y61" s="233"/>
      <c r="Z61" s="233"/>
      <c r="AA61" s="233"/>
      <c r="AB61" s="233"/>
      <c r="AC61" s="233"/>
      <c r="AD61" s="233"/>
      <c r="AE61" s="233"/>
      <c r="AF61" s="233"/>
      <c r="AG61" s="233"/>
      <c r="AH61" s="233"/>
      <c r="AI61" s="233"/>
      <c r="AJ61" s="233"/>
      <c r="AK61" s="233"/>
      <c r="AL61" s="233"/>
      <c r="AM61" s="233"/>
      <c r="AN61" s="233"/>
      <c r="AO61" s="233"/>
      <c r="AP61" s="233"/>
      <c r="AQ61" s="233"/>
    </row>
    <row r="62" s="174" customFormat="true" ht="17.25" hidden="true" customHeight="true" outlineLevel="0" collapsed="false">
      <c r="A62" s="222"/>
      <c r="D62" s="223"/>
      <c r="E62" s="224"/>
      <c r="F62" s="225"/>
      <c r="G62" s="224"/>
      <c r="H62" s="236"/>
      <c r="I62" s="237"/>
      <c r="J62" s="237"/>
      <c r="K62" s="237"/>
      <c r="L62" s="237"/>
      <c r="M62" s="237"/>
      <c r="N62" s="237"/>
      <c r="O62" s="237"/>
      <c r="P62" s="237"/>
      <c r="Q62" s="237"/>
      <c r="R62" s="237"/>
      <c r="S62" s="238"/>
      <c r="T62" s="238"/>
      <c r="U62" s="238"/>
      <c r="V62" s="238"/>
      <c r="W62" s="239"/>
      <c r="X62" s="95"/>
      <c r="Y62" s="95"/>
      <c r="Z62" s="95"/>
      <c r="AA62" s="95"/>
      <c r="AB62" s="95"/>
      <c r="AC62" s="95"/>
      <c r="AD62" s="95"/>
      <c r="AE62" s="95"/>
      <c r="AF62" s="95"/>
      <c r="AG62" s="95"/>
      <c r="AH62" s="95"/>
      <c r="AI62" s="95"/>
      <c r="AJ62" s="95"/>
      <c r="AK62" s="95"/>
      <c r="AL62" s="95"/>
      <c r="AM62" s="95"/>
      <c r="AN62" s="95"/>
      <c r="AO62" s="95"/>
      <c r="AP62" s="95"/>
      <c r="AQ62" s="95"/>
    </row>
    <row r="63" customFormat="false" ht="11.25" hidden="true" customHeight="true" outlineLevel="0" collapsed="false"/>
    <row r="64" customFormat="false" ht="11.25" hidden="true" customHeight="true" outlineLevel="0" collapsed="false">
      <c r="E64" s="241" t="s">
        <v>221</v>
      </c>
      <c r="F64" s="241"/>
      <c r="G64" s="241"/>
      <c r="H64" s="241"/>
      <c r="I64" s="241"/>
      <c r="J64" s="241"/>
      <c r="K64" s="241"/>
      <c r="L64" s="241"/>
      <c r="M64" s="241"/>
      <c r="N64" s="241"/>
      <c r="O64" s="241"/>
      <c r="P64" s="241"/>
      <c r="Q64" s="241"/>
      <c r="R64" s="241"/>
      <c r="S64" s="241"/>
      <c r="T64" s="241"/>
      <c r="U64" s="241"/>
      <c r="V64" s="241"/>
      <c r="W64" s="241"/>
    </row>
    <row r="65" customFormat="false" ht="36.75" hidden="true" customHeight="true" outlineLevel="0" collapsed="false">
      <c r="E65" s="242" t="s">
        <v>222</v>
      </c>
      <c r="F65" s="242"/>
      <c r="G65" s="242"/>
      <c r="H65" s="242"/>
      <c r="I65" s="242"/>
      <c r="J65" s="242"/>
      <c r="K65" s="242"/>
      <c r="L65" s="242"/>
      <c r="M65" s="242"/>
      <c r="N65" s="242"/>
      <c r="O65" s="242"/>
      <c r="P65" s="242"/>
      <c r="Q65" s="242"/>
      <c r="R65" s="242"/>
      <c r="S65" s="242"/>
      <c r="T65" s="242"/>
      <c r="U65" s="242"/>
      <c r="V65" s="242"/>
      <c r="W65" s="242"/>
    </row>
    <row r="66" customFormat="false" ht="28.5" hidden="true" customHeight="true" outlineLevel="0" collapsed="false">
      <c r="E66" s="242" t="s">
        <v>223</v>
      </c>
      <c r="F66" s="242"/>
      <c r="G66" s="242"/>
      <c r="H66" s="242"/>
      <c r="I66" s="242"/>
      <c r="J66" s="242"/>
      <c r="K66" s="242"/>
      <c r="L66" s="242"/>
      <c r="M66" s="242"/>
      <c r="N66" s="242"/>
      <c r="O66" s="242"/>
      <c r="P66" s="242"/>
      <c r="Q66" s="242"/>
      <c r="R66" s="242"/>
      <c r="S66" s="242"/>
      <c r="T66" s="242"/>
      <c r="U66" s="242"/>
      <c r="V66" s="242"/>
      <c r="W66" s="242"/>
    </row>
    <row r="67" customFormat="false" ht="27" hidden="true" customHeight="true" outlineLevel="0" collapsed="false">
      <c r="E67" s="242" t="s">
        <v>224</v>
      </c>
      <c r="F67" s="242"/>
      <c r="G67" s="242"/>
      <c r="H67" s="242"/>
      <c r="I67" s="242"/>
      <c r="J67" s="242"/>
      <c r="K67" s="242"/>
      <c r="L67" s="242"/>
      <c r="M67" s="242"/>
      <c r="N67" s="242"/>
      <c r="O67" s="242"/>
      <c r="P67" s="242"/>
      <c r="Q67" s="242"/>
      <c r="R67" s="242"/>
      <c r="S67" s="242"/>
      <c r="T67" s="242"/>
      <c r="U67" s="242"/>
      <c r="V67" s="242"/>
      <c r="W67" s="242"/>
    </row>
    <row r="68" customFormat="false" ht="17.25" hidden="true" customHeight="true" outlineLevel="0" collapsed="false">
      <c r="E68" s="242" t="s">
        <v>225</v>
      </c>
      <c r="F68" s="242"/>
      <c r="G68" s="242"/>
      <c r="H68" s="242"/>
      <c r="I68" s="242"/>
      <c r="J68" s="242"/>
      <c r="K68" s="242"/>
      <c r="L68" s="242"/>
      <c r="M68" s="242"/>
      <c r="N68" s="242"/>
      <c r="O68" s="242"/>
      <c r="P68" s="242"/>
      <c r="Q68" s="242"/>
      <c r="R68" s="242"/>
      <c r="S68" s="242"/>
      <c r="T68" s="242"/>
      <c r="U68" s="242"/>
      <c r="V68" s="242"/>
      <c r="W68" s="242"/>
    </row>
    <row r="69" customFormat="false" ht="15" hidden="true" customHeight="true" outlineLevel="0" collapsed="false">
      <c r="E69" s="241"/>
      <c r="F69" s="241"/>
      <c r="G69" s="243"/>
      <c r="H69" s="243"/>
      <c r="I69" s="243"/>
      <c r="J69" s="243"/>
      <c r="K69" s="243"/>
      <c r="L69" s="243"/>
      <c r="M69" s="243"/>
      <c r="N69" s="243"/>
      <c r="O69" s="243"/>
      <c r="P69" s="243"/>
      <c r="Q69" s="243"/>
      <c r="R69" s="243"/>
      <c r="S69" s="243"/>
      <c r="T69" s="243"/>
      <c r="U69" s="243"/>
      <c r="V69" s="243"/>
      <c r="W69" s="243"/>
    </row>
    <row r="70" customFormat="false" ht="15" hidden="true" customHeight="true" outlineLevel="0" collapsed="false">
      <c r="E70" s="241" t="s">
        <v>226</v>
      </c>
      <c r="F70" s="241"/>
      <c r="G70" s="241"/>
      <c r="H70" s="241"/>
      <c r="I70" s="241"/>
      <c r="J70" s="241"/>
      <c r="K70" s="241"/>
      <c r="L70" s="241"/>
      <c r="M70" s="241"/>
      <c r="N70" s="241"/>
      <c r="O70" s="241"/>
      <c r="P70" s="241"/>
      <c r="Q70" s="241"/>
      <c r="R70" s="241"/>
      <c r="S70" s="241"/>
      <c r="T70" s="241"/>
      <c r="U70" s="241"/>
      <c r="V70" s="241"/>
      <c r="W70" s="241"/>
    </row>
    <row r="71" customFormat="false" ht="17.25" hidden="true" customHeight="true" outlineLevel="0" collapsed="false">
      <c r="E71" s="242" t="s">
        <v>227</v>
      </c>
      <c r="F71" s="242"/>
      <c r="G71" s="242"/>
      <c r="H71" s="242"/>
      <c r="I71" s="242"/>
      <c r="J71" s="242"/>
      <c r="K71" s="242"/>
      <c r="L71" s="242"/>
      <c r="M71" s="242"/>
      <c r="N71" s="242"/>
      <c r="O71" s="242"/>
      <c r="P71" s="242"/>
      <c r="Q71" s="242"/>
      <c r="R71" s="242"/>
      <c r="S71" s="242"/>
      <c r="T71" s="242"/>
      <c r="U71" s="242"/>
      <c r="V71" s="242"/>
      <c r="W71" s="242"/>
    </row>
    <row r="72" customFormat="false" ht="17.25" hidden="true" customHeight="true" outlineLevel="0" collapsed="false">
      <c r="E72" s="242" t="s">
        <v>228</v>
      </c>
      <c r="F72" s="242"/>
      <c r="G72" s="242"/>
      <c r="H72" s="242"/>
      <c r="I72" s="242"/>
      <c r="J72" s="242"/>
      <c r="K72" s="242"/>
      <c r="L72" s="242"/>
      <c r="M72" s="242"/>
      <c r="N72" s="242"/>
      <c r="O72" s="242"/>
      <c r="P72" s="242"/>
      <c r="Q72" s="242"/>
      <c r="R72" s="242"/>
      <c r="S72" s="242"/>
      <c r="T72" s="242"/>
      <c r="U72" s="242"/>
      <c r="V72" s="242"/>
      <c r="W72" s="242"/>
    </row>
    <row r="73" s="174" customFormat="true" ht="11.25" hidden="true" customHeight="true" outlineLevel="0" collapsed="false">
      <c r="A73" s="117"/>
      <c r="B73" s="117"/>
      <c r="Y73" s="95"/>
      <c r="Z73" s="95"/>
      <c r="AA73" s="95"/>
      <c r="AB73" s="95"/>
      <c r="AC73" s="95"/>
      <c r="AD73" s="95"/>
      <c r="AE73" s="95"/>
      <c r="AF73" s="95"/>
      <c r="AG73" s="95"/>
      <c r="AH73" s="95"/>
      <c r="AI73" s="95"/>
      <c r="AJ73" s="95"/>
      <c r="AK73" s="95"/>
      <c r="AL73" s="95"/>
      <c r="AM73" s="95"/>
      <c r="AN73" s="95"/>
      <c r="AO73" s="95"/>
      <c r="AP73" s="95"/>
      <c r="AQ73" s="95"/>
    </row>
    <row r="74" s="174" customFormat="true" ht="17.25" hidden="true" customHeight="true" outlineLevel="0" collapsed="false">
      <c r="A74" s="222"/>
      <c r="C74" s="116"/>
      <c r="D74" s="223" t="n">
        <v>1</v>
      </c>
      <c r="E74" s="224" t="s">
        <v>229</v>
      </c>
      <c r="F74" s="225" t="s">
        <v>53</v>
      </c>
      <c r="G74" s="224"/>
      <c r="H74" s="226"/>
      <c r="I74" s="227"/>
      <c r="J74" s="228"/>
      <c r="K74" s="229"/>
      <c r="L74" s="229"/>
      <c r="M74" s="229"/>
      <c r="N74" s="230"/>
      <c r="O74" s="229"/>
      <c r="P74" s="229"/>
      <c r="Q74" s="229"/>
      <c r="R74" s="231"/>
      <c r="S74" s="229"/>
      <c r="T74" s="229"/>
      <c r="U74" s="229"/>
      <c r="V74" s="231"/>
      <c r="W74" s="232"/>
      <c r="Y74" s="233"/>
      <c r="Z74" s="233"/>
      <c r="AA74" s="233"/>
      <c r="AB74" s="233"/>
      <c r="AC74" s="233" t="s">
        <v>230</v>
      </c>
      <c r="AD74" s="233" t="s">
        <v>231</v>
      </c>
      <c r="AE74" s="233" t="s">
        <v>232</v>
      </c>
      <c r="AF74" s="233" t="s">
        <v>233</v>
      </c>
      <c r="AG74" s="233"/>
      <c r="AH74" s="233" t="str">
        <f aca="false">IF($E$74=0,"",$E$74)</f>
        <v>Тариф на питьевую воду (питьевое водоснабжение)</v>
      </c>
      <c r="AI74" s="233" t="str">
        <f aca="false">IF($G$74=0,"",$G$74)</f>
        <v/>
      </c>
      <c r="AJ74" s="233" t="str">
        <f aca="false">IF($J$74=0,"",$J$74)</f>
        <v/>
      </c>
      <c r="AK74" s="233" t="str">
        <f aca="false">IF($K$74="нет","без дифференциации",IF($N$74=0,"",$N$74))</f>
        <v/>
      </c>
      <c r="AL74" s="233" t="str">
        <f aca="false">IF($O$74="нет","без дифференциации",IF($R$74=0,"",$R$74))</f>
        <v/>
      </c>
      <c r="AM74" s="233" t="str">
        <f aca="false">IF($S$74="нет","без дифференциации",IF($V$74=0,"",$V$74))</f>
        <v/>
      </c>
      <c r="AN74" s="233" t="n">
        <f aca="false">$I$74</f>
        <v>0</v>
      </c>
      <c r="AO74" s="233" t="str">
        <f aca="false">$I$74&amp;"."&amp;$M$74</f>
        <v>.</v>
      </c>
      <c r="AP74" s="233" t="str">
        <f aca="false">$I$74&amp;"."&amp;$M$74&amp;"."&amp;$Q$74</f>
        <v>..</v>
      </c>
      <c r="AQ74" s="233" t="str">
        <f aca="false">$I$74&amp;"."&amp;$M$74&amp;"."&amp;$Q$74&amp;"."&amp;$U$74</f>
        <v>...</v>
      </c>
    </row>
    <row r="75" s="174" customFormat="true" ht="17.25" hidden="true" customHeight="true" outlineLevel="0" collapsed="false">
      <c r="A75" s="222"/>
      <c r="D75" s="223"/>
      <c r="E75" s="224"/>
      <c r="F75" s="225"/>
      <c r="G75" s="224"/>
      <c r="H75" s="226"/>
      <c r="I75" s="227"/>
      <c r="J75" s="228"/>
      <c r="K75" s="229"/>
      <c r="L75" s="229"/>
      <c r="M75" s="229"/>
      <c r="N75" s="230"/>
      <c r="O75" s="229"/>
      <c r="P75" s="229"/>
      <c r="Q75" s="229"/>
      <c r="R75" s="231"/>
      <c r="S75" s="229"/>
      <c r="T75" s="234"/>
      <c r="U75" s="234"/>
      <c r="V75" s="234"/>
      <c r="W75" s="235"/>
      <c r="Y75" s="95"/>
      <c r="Z75" s="95"/>
      <c r="AA75" s="95"/>
      <c r="AB75" s="95"/>
      <c r="AC75" s="95"/>
      <c r="AD75" s="95"/>
      <c r="AE75" s="95"/>
      <c r="AF75" s="95"/>
      <c r="AG75" s="95"/>
      <c r="AH75" s="95"/>
      <c r="AI75" s="95"/>
      <c r="AJ75" s="95"/>
      <c r="AK75" s="95"/>
      <c r="AL75" s="95"/>
      <c r="AM75" s="95"/>
      <c r="AN75" s="95"/>
      <c r="AO75" s="95"/>
      <c r="AP75" s="95"/>
      <c r="AQ75" s="95"/>
    </row>
    <row r="76" s="174" customFormat="true" ht="17.25" hidden="true" customHeight="true" outlineLevel="0" collapsed="false">
      <c r="A76" s="222"/>
      <c r="C76" s="116"/>
      <c r="D76" s="223"/>
      <c r="E76" s="224"/>
      <c r="F76" s="225"/>
      <c r="G76" s="224"/>
      <c r="H76" s="226"/>
      <c r="I76" s="227"/>
      <c r="J76" s="228"/>
      <c r="K76" s="229"/>
      <c r="L76" s="229"/>
      <c r="M76" s="229"/>
      <c r="N76" s="230"/>
      <c r="O76" s="229"/>
      <c r="P76" s="113"/>
      <c r="Q76" s="234"/>
      <c r="R76" s="234"/>
      <c r="W76" s="235"/>
      <c r="Y76" s="233"/>
      <c r="Z76" s="233"/>
      <c r="AA76" s="233"/>
      <c r="AB76" s="233"/>
      <c r="AC76" s="233"/>
      <c r="AD76" s="233"/>
      <c r="AE76" s="233"/>
      <c r="AF76" s="233"/>
      <c r="AG76" s="233"/>
      <c r="AH76" s="233"/>
      <c r="AI76" s="233"/>
      <c r="AJ76" s="233"/>
      <c r="AK76" s="233"/>
      <c r="AL76" s="233"/>
      <c r="AM76" s="233"/>
      <c r="AN76" s="233"/>
      <c r="AO76" s="233"/>
      <c r="AP76" s="233"/>
      <c r="AQ76" s="233"/>
    </row>
    <row r="77" s="174" customFormat="true" ht="17.25" hidden="true" customHeight="true" outlineLevel="0" collapsed="false">
      <c r="A77" s="222"/>
      <c r="D77" s="223"/>
      <c r="E77" s="224"/>
      <c r="F77" s="225"/>
      <c r="G77" s="224"/>
      <c r="H77" s="226"/>
      <c r="I77" s="227"/>
      <c r="J77" s="228"/>
      <c r="K77" s="229"/>
      <c r="L77" s="234"/>
      <c r="M77" s="234"/>
      <c r="N77" s="234"/>
      <c r="O77" s="234"/>
      <c r="P77" s="234"/>
      <c r="Q77" s="234"/>
      <c r="R77" s="234"/>
      <c r="W77" s="235"/>
      <c r="Y77" s="95"/>
      <c r="Z77" s="95"/>
      <c r="AA77" s="95"/>
      <c r="AB77" s="95"/>
      <c r="AC77" s="95"/>
      <c r="AD77" s="95"/>
      <c r="AE77" s="95"/>
      <c r="AF77" s="95"/>
      <c r="AG77" s="95"/>
      <c r="AH77" s="95"/>
      <c r="AI77" s="95"/>
      <c r="AJ77" s="95"/>
      <c r="AK77" s="95"/>
      <c r="AL77" s="95"/>
      <c r="AM77" s="95"/>
      <c r="AN77" s="95"/>
      <c r="AO77" s="95"/>
      <c r="AP77" s="95"/>
      <c r="AQ77" s="95"/>
    </row>
    <row r="78" s="174" customFormat="true" ht="17.25" hidden="true" customHeight="true" outlineLevel="0" collapsed="false">
      <c r="A78" s="222"/>
      <c r="D78" s="223"/>
      <c r="E78" s="224"/>
      <c r="F78" s="225"/>
      <c r="G78" s="224"/>
      <c r="H78" s="236"/>
      <c r="I78" s="237"/>
      <c r="J78" s="237"/>
      <c r="K78" s="237"/>
      <c r="L78" s="237"/>
      <c r="M78" s="237"/>
      <c r="N78" s="237"/>
      <c r="O78" s="237"/>
      <c r="P78" s="237"/>
      <c r="Q78" s="237"/>
      <c r="R78" s="237"/>
      <c r="S78" s="238"/>
      <c r="T78" s="238"/>
      <c r="U78" s="238"/>
      <c r="V78" s="238"/>
      <c r="W78" s="239"/>
      <c r="Y78" s="95"/>
      <c r="Z78" s="95"/>
      <c r="AA78" s="95"/>
      <c r="AB78" s="95"/>
      <c r="AC78" s="95"/>
      <c r="AD78" s="95"/>
      <c r="AE78" s="95"/>
      <c r="AF78" s="95"/>
      <c r="AG78" s="95"/>
      <c r="AH78" s="95"/>
      <c r="AI78" s="95"/>
      <c r="AJ78" s="95"/>
      <c r="AK78" s="95"/>
      <c r="AL78" s="95"/>
      <c r="AM78" s="95"/>
      <c r="AN78" s="95"/>
      <c r="AO78" s="95"/>
      <c r="AP78" s="95"/>
      <c r="AQ78" s="95"/>
    </row>
    <row r="79" s="174" customFormat="true" ht="17.25" hidden="true" customHeight="true" outlineLevel="0" collapsed="false">
      <c r="A79" s="222"/>
      <c r="C79" s="116"/>
      <c r="D79" s="223" t="n">
        <v>2</v>
      </c>
      <c r="E79" s="224" t="s">
        <v>234</v>
      </c>
      <c r="F79" s="225" t="s">
        <v>53</v>
      </c>
      <c r="G79" s="224"/>
      <c r="H79" s="226"/>
      <c r="I79" s="227"/>
      <c r="J79" s="228"/>
      <c r="K79" s="229"/>
      <c r="L79" s="229"/>
      <c r="M79" s="229"/>
      <c r="N79" s="230"/>
      <c r="O79" s="229"/>
      <c r="P79" s="229"/>
      <c r="Q79" s="229"/>
      <c r="R79" s="231"/>
      <c r="S79" s="229"/>
      <c r="T79" s="229"/>
      <c r="U79" s="229"/>
      <c r="V79" s="231"/>
      <c r="W79" s="232"/>
      <c r="X79" s="233"/>
      <c r="Y79" s="233"/>
      <c r="Z79" s="233"/>
      <c r="AA79" s="233"/>
      <c r="AB79" s="233"/>
      <c r="AC79" s="233" t="s">
        <v>235</v>
      </c>
      <c r="AD79" s="233" t="s">
        <v>236</v>
      </c>
      <c r="AE79" s="233" t="s">
        <v>237</v>
      </c>
      <c r="AF79" s="233" t="s">
        <v>238</v>
      </c>
      <c r="AG79" s="233"/>
      <c r="AH79" s="233" t="str">
        <f aca="false">IF($E$79=0,"",$E$79)</f>
        <v>Тариф на техническую воду</v>
      </c>
      <c r="AI79" s="233" t="str">
        <f aca="false">IF($G$79=0,"",$G$79)</f>
        <v/>
      </c>
      <c r="AJ79" s="233" t="str">
        <f aca="false">IF($J$79=0,"",$J$79)</f>
        <v/>
      </c>
      <c r="AK79" s="233" t="str">
        <f aca="false">IF($K$79="нет","без дифференциации",IF($N$79=0,"",$N$79))</f>
        <v/>
      </c>
      <c r="AL79" s="233" t="str">
        <f aca="false">IF($O$79="нет","без дифференциации",IF($R$79=0,"",$R$79))</f>
        <v/>
      </c>
      <c r="AM79" s="233" t="str">
        <f aca="false">IF($S$79="нет","без дифференциации",IF($V$79=0,"",$V$79))</f>
        <v/>
      </c>
      <c r="AN79" s="240" t="n">
        <f aca="false">$I$79</f>
        <v>0</v>
      </c>
      <c r="AO79" s="233" t="str">
        <f aca="false">$I$79&amp;"."&amp;$M$79</f>
        <v>.</v>
      </c>
      <c r="AP79" s="95" t="str">
        <f aca="false">$I$79&amp;"."&amp;$M$79&amp;"."&amp;$Q$79</f>
        <v>..</v>
      </c>
      <c r="AQ79" s="95" t="str">
        <f aca="false">$I$79&amp;"."&amp;$M$79&amp;"."&amp;$Q$79&amp;"."&amp;$U$79</f>
        <v>...</v>
      </c>
    </row>
    <row r="80" s="174" customFormat="true" ht="17.25" hidden="true" customHeight="true" outlineLevel="0" collapsed="false">
      <c r="A80" s="222"/>
      <c r="D80" s="223"/>
      <c r="E80" s="224"/>
      <c r="F80" s="225"/>
      <c r="G80" s="224"/>
      <c r="H80" s="226"/>
      <c r="I80" s="227"/>
      <c r="J80" s="228"/>
      <c r="K80" s="229"/>
      <c r="L80" s="229"/>
      <c r="M80" s="229"/>
      <c r="N80" s="230"/>
      <c r="O80" s="229"/>
      <c r="P80" s="229"/>
      <c r="Q80" s="229"/>
      <c r="R80" s="231"/>
      <c r="S80" s="229"/>
      <c r="T80" s="234"/>
      <c r="U80" s="234"/>
      <c r="V80" s="234"/>
      <c r="W80" s="235"/>
      <c r="X80" s="95"/>
      <c r="Y80" s="95"/>
      <c r="Z80" s="95"/>
      <c r="AA80" s="95"/>
      <c r="AB80" s="95"/>
      <c r="AC80" s="95"/>
      <c r="AD80" s="95"/>
      <c r="AE80" s="95"/>
      <c r="AF80" s="95"/>
      <c r="AG80" s="95"/>
      <c r="AH80" s="95"/>
      <c r="AI80" s="95"/>
      <c r="AJ80" s="95"/>
      <c r="AK80" s="95"/>
      <c r="AL80" s="95"/>
      <c r="AM80" s="95"/>
      <c r="AN80" s="95"/>
      <c r="AO80" s="95"/>
      <c r="AP80" s="95"/>
      <c r="AQ80" s="95"/>
    </row>
    <row r="81" s="174" customFormat="true" ht="17.25" hidden="true" customHeight="true" outlineLevel="0" collapsed="false">
      <c r="A81" s="222"/>
      <c r="D81" s="223"/>
      <c r="E81" s="224"/>
      <c r="F81" s="225"/>
      <c r="G81" s="224"/>
      <c r="H81" s="226"/>
      <c r="I81" s="227"/>
      <c r="J81" s="228"/>
      <c r="K81" s="229"/>
      <c r="L81" s="229"/>
      <c r="M81" s="229"/>
      <c r="N81" s="230"/>
      <c r="O81" s="229"/>
      <c r="P81" s="113"/>
      <c r="Q81" s="234"/>
      <c r="R81" s="234"/>
      <c r="W81" s="235"/>
      <c r="X81" s="95"/>
      <c r="Y81" s="95"/>
      <c r="Z81" s="95"/>
      <c r="AA81" s="95"/>
      <c r="AB81" s="95"/>
      <c r="AC81" s="95"/>
      <c r="AD81" s="95"/>
      <c r="AE81" s="95"/>
      <c r="AF81" s="95"/>
      <c r="AG81" s="95"/>
      <c r="AH81" s="95"/>
      <c r="AI81" s="95"/>
      <c r="AJ81" s="95"/>
      <c r="AK81" s="95"/>
      <c r="AL81" s="95"/>
      <c r="AM81" s="95"/>
      <c r="AN81" s="95"/>
      <c r="AO81" s="95"/>
      <c r="AP81" s="95"/>
      <c r="AQ81" s="95"/>
    </row>
    <row r="82" s="174" customFormat="true" ht="17.25" hidden="true" customHeight="true" outlineLevel="0" collapsed="false">
      <c r="A82" s="222"/>
      <c r="D82" s="223"/>
      <c r="E82" s="224"/>
      <c r="F82" s="225"/>
      <c r="G82" s="224"/>
      <c r="H82" s="226"/>
      <c r="I82" s="227"/>
      <c r="J82" s="228"/>
      <c r="K82" s="229"/>
      <c r="L82" s="234"/>
      <c r="M82" s="234"/>
      <c r="N82" s="234"/>
      <c r="O82" s="234"/>
      <c r="P82" s="234"/>
      <c r="Q82" s="234"/>
      <c r="R82" s="234"/>
      <c r="W82" s="235"/>
      <c r="X82" s="95"/>
      <c r="Y82" s="95"/>
      <c r="Z82" s="95"/>
      <c r="AA82" s="95"/>
      <c r="AB82" s="95"/>
      <c r="AC82" s="95"/>
      <c r="AD82" s="95"/>
      <c r="AE82" s="95"/>
      <c r="AF82" s="95"/>
      <c r="AG82" s="95"/>
      <c r="AH82" s="95"/>
      <c r="AI82" s="95"/>
      <c r="AJ82" s="95"/>
      <c r="AK82" s="95"/>
      <c r="AL82" s="95"/>
      <c r="AM82" s="95"/>
      <c r="AN82" s="95"/>
      <c r="AO82" s="95"/>
      <c r="AP82" s="95"/>
      <c r="AQ82" s="95"/>
    </row>
    <row r="83" s="174" customFormat="true" ht="17.25" hidden="true" customHeight="true" outlineLevel="0" collapsed="false">
      <c r="A83" s="222"/>
      <c r="D83" s="223"/>
      <c r="E83" s="224"/>
      <c r="F83" s="225"/>
      <c r="G83" s="224"/>
      <c r="H83" s="236"/>
      <c r="I83" s="237"/>
      <c r="J83" s="237"/>
      <c r="K83" s="237"/>
      <c r="L83" s="237"/>
      <c r="M83" s="237"/>
      <c r="N83" s="237"/>
      <c r="O83" s="237"/>
      <c r="P83" s="237"/>
      <c r="Q83" s="237"/>
      <c r="R83" s="237"/>
      <c r="S83" s="238"/>
      <c r="T83" s="238"/>
      <c r="U83" s="238"/>
      <c r="V83" s="238"/>
      <c r="W83" s="239"/>
      <c r="X83" s="95"/>
      <c r="Y83" s="95"/>
      <c r="Z83" s="95"/>
      <c r="AA83" s="95"/>
      <c r="AB83" s="95"/>
      <c r="AC83" s="95"/>
      <c r="AD83" s="95"/>
      <c r="AE83" s="95"/>
      <c r="AF83" s="95"/>
      <c r="AG83" s="95"/>
      <c r="AH83" s="95"/>
      <c r="AI83" s="95"/>
      <c r="AJ83" s="95"/>
      <c r="AK83" s="95"/>
      <c r="AL83" s="95"/>
      <c r="AM83" s="95"/>
      <c r="AN83" s="95"/>
      <c r="AO83" s="95"/>
      <c r="AP83" s="95"/>
      <c r="AQ83" s="95"/>
    </row>
    <row r="84" s="174" customFormat="true" ht="17.25" hidden="true" customHeight="true" outlineLevel="0" collapsed="false">
      <c r="A84" s="222"/>
      <c r="C84" s="116"/>
      <c r="D84" s="223" t="n">
        <v>3</v>
      </c>
      <c r="E84" s="224" t="s">
        <v>239</v>
      </c>
      <c r="F84" s="225" t="s">
        <v>53</v>
      </c>
      <c r="G84" s="224"/>
      <c r="H84" s="226"/>
      <c r="I84" s="227"/>
      <c r="J84" s="228"/>
      <c r="K84" s="229"/>
      <c r="L84" s="229"/>
      <c r="M84" s="229"/>
      <c r="N84" s="230"/>
      <c r="O84" s="229"/>
      <c r="P84" s="229"/>
      <c r="Q84" s="229"/>
      <c r="R84" s="231"/>
      <c r="S84" s="229"/>
      <c r="T84" s="229"/>
      <c r="U84" s="229"/>
      <c r="V84" s="231"/>
      <c r="W84" s="232"/>
      <c r="X84" s="233"/>
      <c r="Y84" s="233"/>
      <c r="Z84" s="233"/>
      <c r="AA84" s="233"/>
      <c r="AB84" s="233"/>
      <c r="AC84" s="233" t="s">
        <v>240</v>
      </c>
      <c r="AD84" s="233" t="s">
        <v>241</v>
      </c>
      <c r="AE84" s="233" t="s">
        <v>242</v>
      </c>
      <c r="AF84" s="233" t="s">
        <v>243</v>
      </c>
      <c r="AG84" s="233"/>
      <c r="AH84" s="233" t="str">
        <f aca="false">IF($E$84=0,"",$E$84)</f>
        <v>Тариф на транспортировку воды</v>
      </c>
      <c r="AI84" s="233" t="str">
        <f aca="false">IF($G$84=0,"",$G$84)</f>
        <v/>
      </c>
      <c r="AJ84" s="233" t="str">
        <f aca="false">IF($J$84=0,"",$J$84)</f>
        <v/>
      </c>
      <c r="AK84" s="233" t="str">
        <f aca="false">IF($K$84="нет","без дифференциации",IF($N$84=0,"",$N$84))</f>
        <v/>
      </c>
      <c r="AL84" s="233" t="str">
        <f aca="false">IF($O$84="нет","без дифференциации",IF($R$84=0,"",$R$84))</f>
        <v/>
      </c>
      <c r="AM84" s="233" t="str">
        <f aca="false">IF($S$84="нет","без дифференциации",IF($V$84=0,"",$V$84))</f>
        <v/>
      </c>
      <c r="AN84" s="240" t="n">
        <f aca="false">$I$84</f>
        <v>0</v>
      </c>
      <c r="AO84" s="233" t="str">
        <f aca="false">$I$84&amp;"."&amp;$M$84</f>
        <v>.</v>
      </c>
      <c r="AP84" s="95" t="str">
        <f aca="false">$I$84&amp;"."&amp;$M$84&amp;"."&amp;$Q$84</f>
        <v>..</v>
      </c>
      <c r="AQ84" s="95" t="str">
        <f aca="false">$I$84&amp;"."&amp;$M$84&amp;"."&amp;$Q$84&amp;"."&amp;$U$84</f>
        <v>...</v>
      </c>
    </row>
    <row r="85" s="174" customFormat="true" ht="17.25" hidden="true" customHeight="true" outlineLevel="0" collapsed="false">
      <c r="A85" s="222"/>
      <c r="D85" s="223"/>
      <c r="E85" s="224"/>
      <c r="F85" s="225"/>
      <c r="G85" s="224"/>
      <c r="H85" s="226"/>
      <c r="I85" s="227"/>
      <c r="J85" s="228"/>
      <c r="K85" s="229"/>
      <c r="L85" s="229"/>
      <c r="M85" s="229"/>
      <c r="N85" s="230"/>
      <c r="O85" s="229"/>
      <c r="P85" s="229"/>
      <c r="Q85" s="229"/>
      <c r="R85" s="231"/>
      <c r="S85" s="229"/>
      <c r="T85" s="234"/>
      <c r="U85" s="234"/>
      <c r="V85" s="234"/>
      <c r="W85" s="235"/>
      <c r="X85" s="95"/>
      <c r="Y85" s="95"/>
      <c r="Z85" s="95"/>
      <c r="AA85" s="95"/>
      <c r="AB85" s="95"/>
      <c r="AC85" s="95"/>
      <c r="AD85" s="95"/>
      <c r="AE85" s="95"/>
      <c r="AF85" s="95"/>
      <c r="AG85" s="95"/>
      <c r="AH85" s="95"/>
      <c r="AI85" s="95"/>
      <c r="AJ85" s="95"/>
      <c r="AK85" s="95"/>
      <c r="AL85" s="95"/>
      <c r="AM85" s="95"/>
      <c r="AN85" s="95"/>
      <c r="AO85" s="95"/>
      <c r="AP85" s="95"/>
      <c r="AQ85" s="95"/>
    </row>
    <row r="86" s="174" customFormat="true" ht="17.25" hidden="true" customHeight="true" outlineLevel="0" collapsed="false">
      <c r="A86" s="222"/>
      <c r="D86" s="223"/>
      <c r="E86" s="224"/>
      <c r="F86" s="225"/>
      <c r="G86" s="224"/>
      <c r="H86" s="226"/>
      <c r="I86" s="227"/>
      <c r="J86" s="228"/>
      <c r="K86" s="229"/>
      <c r="L86" s="229"/>
      <c r="M86" s="229"/>
      <c r="N86" s="230"/>
      <c r="O86" s="229"/>
      <c r="P86" s="113"/>
      <c r="Q86" s="234"/>
      <c r="R86" s="234"/>
      <c r="W86" s="235"/>
      <c r="X86" s="95"/>
      <c r="Y86" s="95"/>
      <c r="Z86" s="95"/>
      <c r="AA86" s="95"/>
      <c r="AB86" s="95"/>
      <c r="AC86" s="95"/>
      <c r="AD86" s="95"/>
      <c r="AE86" s="95"/>
      <c r="AF86" s="95"/>
      <c r="AG86" s="95"/>
      <c r="AH86" s="95"/>
      <c r="AI86" s="95"/>
      <c r="AJ86" s="95"/>
      <c r="AK86" s="95"/>
      <c r="AL86" s="95"/>
      <c r="AM86" s="95"/>
      <c r="AN86" s="95"/>
      <c r="AO86" s="95"/>
      <c r="AP86" s="95"/>
      <c r="AQ86" s="95"/>
    </row>
    <row r="87" s="174" customFormat="true" ht="17.25" hidden="true" customHeight="true" outlineLevel="0" collapsed="false">
      <c r="A87" s="222"/>
      <c r="D87" s="223"/>
      <c r="E87" s="224"/>
      <c r="F87" s="225"/>
      <c r="G87" s="224"/>
      <c r="H87" s="226"/>
      <c r="I87" s="227"/>
      <c r="J87" s="228"/>
      <c r="K87" s="229"/>
      <c r="L87" s="234"/>
      <c r="M87" s="234"/>
      <c r="N87" s="234"/>
      <c r="O87" s="234"/>
      <c r="P87" s="234"/>
      <c r="Q87" s="234"/>
      <c r="R87" s="234"/>
      <c r="W87" s="235"/>
      <c r="X87" s="95"/>
      <c r="Y87" s="95"/>
      <c r="Z87" s="95"/>
      <c r="AA87" s="95"/>
      <c r="AB87" s="95"/>
      <c r="AC87" s="95"/>
      <c r="AD87" s="95"/>
      <c r="AE87" s="95"/>
      <c r="AF87" s="95"/>
      <c r="AG87" s="95"/>
      <c r="AH87" s="95"/>
      <c r="AI87" s="95"/>
      <c r="AJ87" s="95"/>
      <c r="AK87" s="95"/>
      <c r="AL87" s="95"/>
      <c r="AM87" s="95"/>
      <c r="AN87" s="95"/>
      <c r="AO87" s="95"/>
      <c r="AP87" s="95"/>
      <c r="AQ87" s="95"/>
    </row>
    <row r="88" s="174" customFormat="true" ht="17.25" hidden="true" customHeight="true" outlineLevel="0" collapsed="false">
      <c r="A88" s="222"/>
      <c r="D88" s="223"/>
      <c r="E88" s="224"/>
      <c r="F88" s="225"/>
      <c r="G88" s="224"/>
      <c r="H88" s="236"/>
      <c r="I88" s="237"/>
      <c r="J88" s="237"/>
      <c r="K88" s="237"/>
      <c r="L88" s="237"/>
      <c r="M88" s="237"/>
      <c r="N88" s="237"/>
      <c r="O88" s="237"/>
      <c r="P88" s="237"/>
      <c r="Q88" s="237"/>
      <c r="R88" s="237"/>
      <c r="S88" s="238"/>
      <c r="T88" s="238"/>
      <c r="U88" s="238"/>
      <c r="V88" s="238"/>
      <c r="W88" s="239"/>
      <c r="X88" s="95"/>
      <c r="Y88" s="95"/>
      <c r="Z88" s="95"/>
      <c r="AA88" s="95"/>
      <c r="AB88" s="95"/>
      <c r="AC88" s="95"/>
      <c r="AD88" s="95"/>
      <c r="AE88" s="95"/>
      <c r="AF88" s="95"/>
      <c r="AG88" s="95"/>
      <c r="AH88" s="95"/>
      <c r="AI88" s="95"/>
      <c r="AJ88" s="95"/>
      <c r="AK88" s="95"/>
      <c r="AL88" s="95"/>
      <c r="AM88" s="95"/>
      <c r="AN88" s="95"/>
      <c r="AO88" s="95"/>
      <c r="AP88" s="95"/>
      <c r="AQ88" s="95"/>
    </row>
    <row r="89" s="174" customFormat="true" ht="17.25" hidden="true" customHeight="true" outlineLevel="0" collapsed="false">
      <c r="A89" s="222"/>
      <c r="C89" s="116"/>
      <c r="D89" s="223" t="n">
        <v>4</v>
      </c>
      <c r="E89" s="224" t="s">
        <v>244</v>
      </c>
      <c r="F89" s="225" t="s">
        <v>53</v>
      </c>
      <c r="G89" s="224"/>
      <c r="H89" s="226"/>
      <c r="I89" s="227"/>
      <c r="J89" s="228"/>
      <c r="K89" s="229"/>
      <c r="L89" s="229"/>
      <c r="M89" s="229"/>
      <c r="N89" s="230"/>
      <c r="O89" s="229"/>
      <c r="P89" s="229"/>
      <c r="Q89" s="229"/>
      <c r="R89" s="231"/>
      <c r="S89" s="229"/>
      <c r="T89" s="229"/>
      <c r="U89" s="229"/>
      <c r="V89" s="231"/>
      <c r="W89" s="232"/>
      <c r="X89" s="233"/>
      <c r="Y89" s="233"/>
      <c r="Z89" s="233"/>
      <c r="AA89" s="233"/>
      <c r="AB89" s="233"/>
      <c r="AC89" s="233" t="s">
        <v>245</v>
      </c>
      <c r="AD89" s="233" t="s">
        <v>246</v>
      </c>
      <c r="AE89" s="233" t="s">
        <v>247</v>
      </c>
      <c r="AF89" s="233" t="s">
        <v>248</v>
      </c>
      <c r="AG89" s="233"/>
      <c r="AH89" s="233" t="str">
        <f aca="false">IF($E$89=0,"",$E$89)</f>
        <v>Тариф на подвоз воды</v>
      </c>
      <c r="AI89" s="233" t="str">
        <f aca="false">IF($G$89=0,"",$G$89)</f>
        <v/>
      </c>
      <c r="AJ89" s="233" t="str">
        <f aca="false">IF($J$89=0,"",$J$89)</f>
        <v/>
      </c>
      <c r="AK89" s="233" t="str">
        <f aca="false">IF($K$89="нет","без дифференциации",IF($N$89=0,"",$N$89))</f>
        <v/>
      </c>
      <c r="AL89" s="233" t="str">
        <f aca="false">IF($O$89="нет","без дифференциации",IF($R$89=0,"",$R$89))</f>
        <v/>
      </c>
      <c r="AM89" s="233" t="str">
        <f aca="false">IF($S$89="нет","без дифференциации",IF($V$89=0,"",$V$89))</f>
        <v/>
      </c>
      <c r="AN89" s="240" t="n">
        <f aca="false">$I$89</f>
        <v>0</v>
      </c>
      <c r="AO89" s="233" t="str">
        <f aca="false">$I$89&amp;"."&amp;$M$89</f>
        <v>.</v>
      </c>
      <c r="AP89" s="95" t="str">
        <f aca="false">$I$89&amp;"."&amp;$M$89&amp;"."&amp;$Q$89</f>
        <v>..</v>
      </c>
      <c r="AQ89" s="95" t="str">
        <f aca="false">$I$89&amp;"."&amp;$M$89&amp;"."&amp;$Q$89&amp;"."&amp;$U$89</f>
        <v>...</v>
      </c>
    </row>
    <row r="90" s="174" customFormat="true" ht="17.25" hidden="true" customHeight="true" outlineLevel="0" collapsed="false">
      <c r="A90" s="222"/>
      <c r="D90" s="223"/>
      <c r="E90" s="224"/>
      <c r="F90" s="225"/>
      <c r="G90" s="224"/>
      <c r="H90" s="226"/>
      <c r="I90" s="227"/>
      <c r="J90" s="228"/>
      <c r="K90" s="229"/>
      <c r="L90" s="229"/>
      <c r="M90" s="229"/>
      <c r="N90" s="230"/>
      <c r="O90" s="229"/>
      <c r="P90" s="229"/>
      <c r="Q90" s="229"/>
      <c r="R90" s="231"/>
      <c r="S90" s="229"/>
      <c r="T90" s="234"/>
      <c r="U90" s="234"/>
      <c r="V90" s="234"/>
      <c r="W90" s="235"/>
      <c r="X90" s="95"/>
      <c r="Y90" s="95"/>
      <c r="Z90" s="95"/>
      <c r="AA90" s="95"/>
      <c r="AB90" s="95"/>
      <c r="AC90" s="95"/>
      <c r="AD90" s="95"/>
      <c r="AE90" s="95"/>
      <c r="AF90" s="95"/>
      <c r="AG90" s="95"/>
      <c r="AH90" s="95"/>
      <c r="AI90" s="95"/>
      <c r="AJ90" s="95"/>
      <c r="AK90" s="95"/>
      <c r="AL90" s="95"/>
      <c r="AM90" s="95"/>
      <c r="AN90" s="95"/>
      <c r="AO90" s="95"/>
      <c r="AP90" s="95"/>
      <c r="AQ90" s="95"/>
    </row>
    <row r="91" s="174" customFormat="true" ht="17.25" hidden="true" customHeight="true" outlineLevel="0" collapsed="false">
      <c r="A91" s="222"/>
      <c r="D91" s="223"/>
      <c r="E91" s="224"/>
      <c r="F91" s="225"/>
      <c r="G91" s="224"/>
      <c r="H91" s="226"/>
      <c r="I91" s="227"/>
      <c r="J91" s="228"/>
      <c r="K91" s="229"/>
      <c r="L91" s="229"/>
      <c r="M91" s="229"/>
      <c r="N91" s="230"/>
      <c r="O91" s="229"/>
      <c r="P91" s="113"/>
      <c r="Q91" s="234"/>
      <c r="R91" s="234"/>
      <c r="W91" s="235"/>
      <c r="X91" s="95"/>
      <c r="Y91" s="95"/>
      <c r="Z91" s="95"/>
      <c r="AA91" s="95"/>
      <c r="AB91" s="95"/>
      <c r="AC91" s="95"/>
      <c r="AD91" s="95"/>
      <c r="AE91" s="95"/>
      <c r="AF91" s="95"/>
      <c r="AG91" s="95"/>
      <c r="AH91" s="95"/>
      <c r="AI91" s="95"/>
      <c r="AJ91" s="95"/>
      <c r="AK91" s="95"/>
      <c r="AL91" s="95"/>
      <c r="AM91" s="95"/>
      <c r="AN91" s="95"/>
      <c r="AO91" s="95"/>
      <c r="AP91" s="95"/>
      <c r="AQ91" s="95"/>
    </row>
    <row r="92" s="174" customFormat="true" ht="17.25" hidden="true" customHeight="true" outlineLevel="0" collapsed="false">
      <c r="A92" s="222"/>
      <c r="D92" s="223"/>
      <c r="E92" s="224"/>
      <c r="F92" s="225"/>
      <c r="G92" s="224"/>
      <c r="H92" s="226"/>
      <c r="I92" s="227"/>
      <c r="J92" s="228"/>
      <c r="K92" s="229"/>
      <c r="L92" s="234"/>
      <c r="M92" s="234"/>
      <c r="N92" s="234"/>
      <c r="O92" s="234"/>
      <c r="P92" s="234"/>
      <c r="Q92" s="234"/>
      <c r="R92" s="234"/>
      <c r="W92" s="235"/>
      <c r="X92" s="95"/>
      <c r="Y92" s="95"/>
      <c r="Z92" s="95"/>
      <c r="AA92" s="95"/>
      <c r="AB92" s="95"/>
      <c r="AC92" s="95"/>
      <c r="AD92" s="95"/>
      <c r="AE92" s="95"/>
      <c r="AF92" s="95"/>
      <c r="AG92" s="95"/>
      <c r="AH92" s="95"/>
      <c r="AI92" s="95"/>
      <c r="AJ92" s="95"/>
      <c r="AK92" s="95"/>
      <c r="AL92" s="95"/>
      <c r="AM92" s="95"/>
      <c r="AN92" s="95"/>
      <c r="AO92" s="95"/>
      <c r="AP92" s="95"/>
      <c r="AQ92" s="95"/>
    </row>
    <row r="93" s="174" customFormat="true" ht="17.25" hidden="true" customHeight="true" outlineLevel="0" collapsed="false">
      <c r="A93" s="222"/>
      <c r="D93" s="223"/>
      <c r="E93" s="224"/>
      <c r="F93" s="225"/>
      <c r="G93" s="224"/>
      <c r="H93" s="236"/>
      <c r="I93" s="237"/>
      <c r="J93" s="237"/>
      <c r="K93" s="237"/>
      <c r="L93" s="237"/>
      <c r="M93" s="237"/>
      <c r="N93" s="237"/>
      <c r="O93" s="237"/>
      <c r="P93" s="237"/>
      <c r="Q93" s="237"/>
      <c r="R93" s="237"/>
      <c r="S93" s="238"/>
      <c r="T93" s="238"/>
      <c r="U93" s="238"/>
      <c r="V93" s="238"/>
      <c r="W93" s="239"/>
      <c r="X93" s="95"/>
      <c r="Y93" s="95"/>
      <c r="Z93" s="95"/>
      <c r="AA93" s="95"/>
      <c r="AB93" s="95"/>
      <c r="AC93" s="95"/>
      <c r="AD93" s="95"/>
      <c r="AE93" s="95"/>
      <c r="AF93" s="95"/>
      <c r="AG93" s="95"/>
      <c r="AH93" s="95"/>
      <c r="AI93" s="95"/>
      <c r="AJ93" s="95"/>
      <c r="AK93" s="95"/>
      <c r="AL93" s="95"/>
      <c r="AM93" s="95"/>
      <c r="AN93" s="95"/>
      <c r="AO93" s="95"/>
      <c r="AP93" s="95"/>
      <c r="AQ93" s="95"/>
    </row>
    <row r="94" s="174" customFormat="true" ht="17.25" hidden="true" customHeight="true" outlineLevel="0" collapsed="false">
      <c r="A94" s="222"/>
      <c r="C94" s="116"/>
      <c r="D94" s="223" t="n">
        <v>5</v>
      </c>
      <c r="E94" s="224" t="s">
        <v>249</v>
      </c>
      <c r="F94" s="225" t="s">
        <v>53</v>
      </c>
      <c r="G94" s="224"/>
      <c r="H94" s="226"/>
      <c r="I94" s="227"/>
      <c r="J94" s="228"/>
      <c r="K94" s="229"/>
      <c r="L94" s="229"/>
      <c r="M94" s="229"/>
      <c r="N94" s="230"/>
      <c r="O94" s="229"/>
      <c r="P94" s="229"/>
      <c r="Q94" s="229"/>
      <c r="R94" s="231"/>
      <c r="S94" s="229"/>
      <c r="T94" s="229"/>
      <c r="U94" s="229"/>
      <c r="V94" s="231"/>
      <c r="W94" s="232"/>
      <c r="X94" s="233"/>
      <c r="Y94" s="233"/>
      <c r="Z94" s="233"/>
      <c r="AA94" s="233"/>
      <c r="AB94" s="233"/>
      <c r="AC94" s="233" t="s">
        <v>250</v>
      </c>
      <c r="AD94" s="233" t="s">
        <v>251</v>
      </c>
      <c r="AE94" s="233" t="s">
        <v>252</v>
      </c>
      <c r="AF94" s="233" t="s">
        <v>253</v>
      </c>
      <c r="AG94" s="233"/>
      <c r="AH94" s="233" t="str">
        <f aca="false">IF($E$94=0,"",$E$94)</f>
        <v>Тариф на подключение (технологическое присоединение) к централизованной системе холодного водоснабжения</v>
      </c>
      <c r="AI94" s="233" t="str">
        <f aca="false">IF($G$94=0,"",$G$94)</f>
        <v/>
      </c>
      <c r="AJ94" s="233" t="str">
        <f aca="false">IF($J$94=0,"",$J$94)</f>
        <v/>
      </c>
      <c r="AK94" s="233" t="str">
        <f aca="false">IF($K$94="нет","без дифференциации",IF($N$94=0,"",$N$94))</f>
        <v/>
      </c>
      <c r="AL94" s="233" t="str">
        <f aca="false">IF($O$94="нет","без дифференциации",IF($R$94=0,"",$R$94))</f>
        <v/>
      </c>
      <c r="AM94" s="233" t="str">
        <f aca="false">IF($S$94="нет","без дифференциации",IF($V$94=0,"",$V$94))</f>
        <v/>
      </c>
      <c r="AN94" s="240" t="n">
        <f aca="false">$I$94</f>
        <v>0</v>
      </c>
      <c r="AO94" s="233" t="str">
        <f aca="false">$I$94&amp;"."&amp;$M$94</f>
        <v>.</v>
      </c>
      <c r="AP94" s="95" t="str">
        <f aca="false">$I$94&amp;"."&amp;$M$94&amp;"."&amp;$Q$94</f>
        <v>..</v>
      </c>
      <c r="AQ94" s="95" t="str">
        <f aca="false">$I$94&amp;"."&amp;$M$94&amp;"."&amp;$Q$94&amp;"."&amp;$U$94</f>
        <v>...</v>
      </c>
    </row>
    <row r="95" s="174" customFormat="true" ht="17.25" hidden="true" customHeight="true" outlineLevel="0" collapsed="false">
      <c r="A95" s="222"/>
      <c r="D95" s="223"/>
      <c r="E95" s="224"/>
      <c r="F95" s="225"/>
      <c r="G95" s="224"/>
      <c r="H95" s="226"/>
      <c r="I95" s="227"/>
      <c r="J95" s="228"/>
      <c r="K95" s="229"/>
      <c r="L95" s="229"/>
      <c r="M95" s="229"/>
      <c r="N95" s="230"/>
      <c r="O95" s="229"/>
      <c r="P95" s="229"/>
      <c r="Q95" s="229"/>
      <c r="R95" s="231"/>
      <c r="S95" s="229"/>
      <c r="T95" s="234"/>
      <c r="U95" s="234"/>
      <c r="V95" s="234"/>
      <c r="W95" s="235"/>
      <c r="X95" s="95"/>
      <c r="Y95" s="95"/>
      <c r="Z95" s="95"/>
      <c r="AA95" s="95"/>
      <c r="AB95" s="95"/>
      <c r="AC95" s="95"/>
      <c r="AD95" s="95"/>
      <c r="AE95" s="95"/>
      <c r="AF95" s="95"/>
      <c r="AG95" s="95"/>
      <c r="AH95" s="95"/>
      <c r="AI95" s="95"/>
      <c r="AJ95" s="95"/>
      <c r="AK95" s="95"/>
      <c r="AL95" s="95"/>
      <c r="AM95" s="95"/>
      <c r="AN95" s="95"/>
      <c r="AO95" s="95"/>
      <c r="AP95" s="95"/>
      <c r="AQ95" s="95"/>
    </row>
    <row r="96" s="174" customFormat="true" ht="17.25" hidden="true" customHeight="true" outlineLevel="0" collapsed="false">
      <c r="A96" s="222"/>
      <c r="D96" s="223"/>
      <c r="E96" s="224"/>
      <c r="F96" s="225"/>
      <c r="G96" s="224"/>
      <c r="H96" s="226"/>
      <c r="I96" s="227"/>
      <c r="J96" s="228"/>
      <c r="K96" s="229"/>
      <c r="L96" s="229"/>
      <c r="M96" s="229"/>
      <c r="N96" s="230"/>
      <c r="O96" s="229"/>
      <c r="P96" s="113"/>
      <c r="Q96" s="234"/>
      <c r="R96" s="234"/>
      <c r="W96" s="235"/>
      <c r="X96" s="95"/>
      <c r="Y96" s="95"/>
      <c r="Z96" s="95"/>
      <c r="AA96" s="95"/>
      <c r="AB96" s="95"/>
      <c r="AC96" s="95"/>
      <c r="AD96" s="95"/>
      <c r="AE96" s="95"/>
      <c r="AF96" s="95"/>
      <c r="AG96" s="95"/>
      <c r="AH96" s="95"/>
      <c r="AI96" s="95"/>
      <c r="AJ96" s="95"/>
      <c r="AK96" s="95"/>
      <c r="AL96" s="95"/>
      <c r="AM96" s="95"/>
      <c r="AN96" s="95"/>
      <c r="AO96" s="95"/>
      <c r="AP96" s="95"/>
      <c r="AQ96" s="95"/>
    </row>
    <row r="97" s="174" customFormat="true" ht="17.25" hidden="true" customHeight="true" outlineLevel="0" collapsed="false">
      <c r="A97" s="222"/>
      <c r="D97" s="223"/>
      <c r="E97" s="224"/>
      <c r="F97" s="225"/>
      <c r="G97" s="224"/>
      <c r="H97" s="226"/>
      <c r="I97" s="227"/>
      <c r="J97" s="228"/>
      <c r="K97" s="229"/>
      <c r="L97" s="234"/>
      <c r="M97" s="234"/>
      <c r="N97" s="234"/>
      <c r="O97" s="234"/>
      <c r="P97" s="234"/>
      <c r="Q97" s="234"/>
      <c r="R97" s="234"/>
      <c r="W97" s="235"/>
      <c r="X97" s="95"/>
      <c r="Y97" s="95"/>
      <c r="Z97" s="95"/>
      <c r="AA97" s="95"/>
      <c r="AB97" s="95"/>
      <c r="AC97" s="95"/>
      <c r="AD97" s="95"/>
      <c r="AE97" s="95"/>
      <c r="AF97" s="95"/>
      <c r="AG97" s="95"/>
      <c r="AH97" s="95"/>
      <c r="AI97" s="95"/>
      <c r="AJ97" s="95"/>
      <c r="AK97" s="95"/>
      <c r="AL97" s="95"/>
      <c r="AM97" s="95"/>
      <c r="AN97" s="95"/>
      <c r="AO97" s="95"/>
      <c r="AP97" s="95"/>
      <c r="AQ97" s="95"/>
    </row>
    <row r="98" s="174" customFormat="true" ht="17.25" hidden="true" customHeight="true" outlineLevel="0" collapsed="false">
      <c r="A98" s="222"/>
      <c r="D98" s="223"/>
      <c r="E98" s="224"/>
      <c r="F98" s="225"/>
      <c r="G98" s="224"/>
      <c r="H98" s="236"/>
      <c r="I98" s="237"/>
      <c r="J98" s="237"/>
      <c r="K98" s="237"/>
      <c r="L98" s="237"/>
      <c r="M98" s="237"/>
      <c r="N98" s="237"/>
      <c r="O98" s="237"/>
      <c r="P98" s="237"/>
      <c r="Q98" s="237"/>
      <c r="R98" s="237"/>
      <c r="S98" s="238"/>
      <c r="T98" s="238"/>
      <c r="U98" s="238"/>
      <c r="V98" s="238"/>
      <c r="W98" s="239"/>
      <c r="X98" s="95"/>
      <c r="Y98" s="95"/>
      <c r="Z98" s="95"/>
      <c r="AA98" s="95"/>
      <c r="AB98" s="95"/>
      <c r="AC98" s="95"/>
      <c r="AD98" s="95"/>
      <c r="AE98" s="95"/>
      <c r="AF98" s="95"/>
      <c r="AG98" s="95"/>
      <c r="AH98" s="95"/>
      <c r="AI98" s="95"/>
      <c r="AJ98" s="95"/>
      <c r="AK98" s="95"/>
      <c r="AL98" s="95"/>
      <c r="AM98" s="95"/>
      <c r="AN98" s="95"/>
      <c r="AO98" s="95"/>
      <c r="AP98" s="95"/>
      <c r="AQ98" s="95"/>
    </row>
    <row r="99" s="174" customFormat="true" ht="11.25" hidden="true" customHeight="true" outlineLevel="0" collapsed="false">
      <c r="A99" s="117"/>
      <c r="B99" s="117"/>
      <c r="Y99" s="95"/>
      <c r="Z99" s="95"/>
      <c r="AA99" s="95"/>
      <c r="AB99" s="95"/>
      <c r="AC99" s="95"/>
      <c r="AD99" s="95"/>
      <c r="AE99" s="95"/>
      <c r="AF99" s="95"/>
      <c r="AG99" s="95"/>
      <c r="AH99" s="95"/>
      <c r="AI99" s="95"/>
      <c r="AJ99" s="95"/>
      <c r="AK99" s="95"/>
      <c r="AL99" s="95"/>
      <c r="AM99" s="95"/>
      <c r="AN99" s="95"/>
      <c r="AO99" s="95"/>
      <c r="AP99" s="95"/>
      <c r="AQ99" s="95"/>
    </row>
    <row r="100" s="174" customFormat="true" ht="17.25" hidden="false" customHeight="true" outlineLevel="0" collapsed="false">
      <c r="A100" s="222"/>
      <c r="C100" s="116"/>
      <c r="D100" s="223" t="n">
        <v>1</v>
      </c>
      <c r="E100" s="224" t="s">
        <v>254</v>
      </c>
      <c r="F100" s="225" t="s">
        <v>63</v>
      </c>
      <c r="G100" s="244" t="str">
        <f aca="false">INDEX(HOTVSNA_PT_VED_NAME,MATCH(4189706,HOTVSNA_PT_VED_ID,0))</f>
        <v>Горячее водоснабжение</v>
      </c>
      <c r="H100" s="219"/>
      <c r="I100" s="219" t="n">
        <v>1</v>
      </c>
      <c r="J100" s="245" t="s">
        <v>255</v>
      </c>
      <c r="K100" s="203" t="s">
        <v>63</v>
      </c>
      <c r="L100" s="197"/>
      <c r="M100" s="197" t="s">
        <v>117</v>
      </c>
      <c r="N100" s="246" t="str">
        <f aca="false">IF(Z100="","",INDEX(TERRITORY_MR_LIST,MATCH(Z100,TERRITORY_LIST_ID,0)))</f>
        <v>Территория 1</v>
      </c>
      <c r="O100" s="203" t="s">
        <v>53</v>
      </c>
      <c r="P100" s="197"/>
      <c r="Q100" s="197" t="s">
        <v>117</v>
      </c>
      <c r="R100" s="247"/>
      <c r="S100" s="248" t="s">
        <v>53</v>
      </c>
      <c r="T100" s="248"/>
      <c r="U100" s="248" t="s">
        <v>117</v>
      </c>
      <c r="V100" s="249"/>
      <c r="W100" s="245"/>
      <c r="Y100" s="233"/>
      <c r="Z100" s="233" t="s">
        <v>94</v>
      </c>
      <c r="AA100" s="233"/>
      <c r="AB100" s="233" t="s">
        <v>256</v>
      </c>
      <c r="AC100" s="233" t="s">
        <v>257</v>
      </c>
      <c r="AD100" s="233" t="s">
        <v>258</v>
      </c>
      <c r="AE100" s="233" t="s">
        <v>259</v>
      </c>
      <c r="AF100" s="233" t="s">
        <v>260</v>
      </c>
      <c r="AG100" s="233"/>
      <c r="AH100" s="233" t="str">
        <f aca="false">IF($E$100=0,"",$E$100)</f>
        <v>Тариф на горячую воду (горячее водоснабжение)</v>
      </c>
      <c r="AI100" s="233" t="str">
        <f aca="false">IF($G$100=0,"",$G$100)</f>
        <v>Горячее водоснабжение</v>
      </c>
      <c r="AJ100" s="233" t="str">
        <f aca="false">IF($J$100=0,"",$J$100)</f>
        <v>тариф на горячую воду в закрытой системе горячего водоснабжения</v>
      </c>
      <c r="AK100" s="233" t="str">
        <f aca="false">IF($K$100="нет","без дифференциации",IF($N$100=0,"",$N$100))</f>
        <v>Территория 1</v>
      </c>
      <c r="AL100" s="233" t="str">
        <f aca="false">IF($O$100="нет","без дифференциации",IF($R$100=0,"",$R$100))</f>
        <v>без дифференциации</v>
      </c>
      <c r="AM100" s="233" t="str">
        <f aca="false">IF($S$100="нет","без дифференциации",IF($V$100=0,"",$V$100))</f>
        <v>без дифференциации</v>
      </c>
      <c r="AN100" s="233" t="n">
        <f aca="false">$I$100</f>
        <v>1</v>
      </c>
      <c r="AO100" s="233" t="str">
        <f aca="false">$I$100&amp;"."&amp;$M$100</f>
        <v>1.1</v>
      </c>
      <c r="AP100" s="233" t="str">
        <f aca="false">$I$100&amp;"."&amp;$M$100&amp;"."&amp;$Q$100</f>
        <v>1.1.1</v>
      </c>
      <c r="AQ100" s="233" t="str">
        <f aca="false">$I$100&amp;"."&amp;$M$100&amp;"."&amp;$Q$100&amp;"."&amp;$U$100</f>
        <v>1.1.1.1</v>
      </c>
    </row>
    <row r="101" s="174" customFormat="true" ht="17.25" hidden="false" customHeight="true" outlineLevel="0" collapsed="false">
      <c r="A101" s="222"/>
      <c r="D101" s="223"/>
      <c r="E101" s="224"/>
      <c r="F101" s="225"/>
      <c r="G101" s="244"/>
      <c r="H101" s="219"/>
      <c r="I101" s="219"/>
      <c r="J101" s="245"/>
      <c r="K101" s="203"/>
      <c r="L101" s="197"/>
      <c r="M101" s="197"/>
      <c r="N101" s="246"/>
      <c r="O101" s="203"/>
      <c r="P101" s="197"/>
      <c r="Q101" s="197"/>
      <c r="R101" s="247"/>
      <c r="S101" s="248"/>
      <c r="T101" s="250"/>
      <c r="U101" s="251"/>
      <c r="V101" s="251"/>
      <c r="W101" s="245"/>
      <c r="Y101" s="95"/>
      <c r="Z101" s="95"/>
      <c r="AA101" s="95"/>
      <c r="AB101" s="95"/>
      <c r="AC101" s="95"/>
      <c r="AD101" s="95"/>
      <c r="AE101" s="95"/>
      <c r="AF101" s="95"/>
      <c r="AG101" s="95"/>
      <c r="AH101" s="95"/>
      <c r="AI101" s="95"/>
      <c r="AJ101" s="95"/>
      <c r="AK101" s="95"/>
      <c r="AL101" s="95"/>
      <c r="AM101" s="95"/>
      <c r="AN101" s="95"/>
      <c r="AO101" s="95"/>
      <c r="AP101" s="95"/>
      <c r="AQ101" s="95"/>
    </row>
    <row r="102" s="174" customFormat="true" ht="17.25" hidden="false" customHeight="true" outlineLevel="0" collapsed="false">
      <c r="A102" s="222"/>
      <c r="C102" s="116"/>
      <c r="D102" s="223"/>
      <c r="E102" s="224"/>
      <c r="F102" s="225"/>
      <c r="G102" s="244"/>
      <c r="H102" s="219"/>
      <c r="I102" s="219"/>
      <c r="J102" s="245"/>
      <c r="K102" s="203"/>
      <c r="L102" s="197"/>
      <c r="M102" s="197"/>
      <c r="N102" s="246"/>
      <c r="O102" s="203"/>
      <c r="P102" s="252"/>
      <c r="Q102" s="253"/>
      <c r="R102" s="253" t="s">
        <v>261</v>
      </c>
      <c r="S102" s="254"/>
      <c r="T102" s="254"/>
      <c r="U102" s="254"/>
      <c r="V102" s="254"/>
      <c r="W102" s="255"/>
      <c r="Y102" s="233"/>
      <c r="Z102" s="233"/>
      <c r="AA102" s="233"/>
      <c r="AB102" s="233"/>
      <c r="AC102" s="233"/>
      <c r="AD102" s="233"/>
      <c r="AE102" s="233"/>
      <c r="AF102" s="233"/>
      <c r="AG102" s="233"/>
      <c r="AH102" s="233"/>
      <c r="AI102" s="233"/>
      <c r="AJ102" s="233"/>
      <c r="AK102" s="233"/>
      <c r="AL102" s="233"/>
      <c r="AM102" s="233"/>
      <c r="AN102" s="233"/>
      <c r="AO102" s="233"/>
      <c r="AP102" s="233"/>
      <c r="AQ102" s="233"/>
    </row>
    <row r="103" customFormat="false" ht="17.25" hidden="false" customHeight="true" outlineLevel="0" collapsed="false">
      <c r="A103" s="222"/>
      <c r="B103" s="174"/>
      <c r="C103" s="116"/>
      <c r="D103" s="223"/>
      <c r="E103" s="224"/>
      <c r="F103" s="225"/>
      <c r="G103" s="244"/>
      <c r="H103" s="219"/>
      <c r="I103" s="219"/>
      <c r="J103" s="245"/>
      <c r="K103" s="203"/>
      <c r="L103" s="197" t="s">
        <v>100</v>
      </c>
      <c r="M103" s="197" t="s">
        <v>99</v>
      </c>
      <c r="N103" s="246" t="str">
        <f aca="false">IF(Z103="","",INDEX(TERRITORY_MR_LIST,MATCH(Z103,TERRITORY_LIST_ID,0)))</f>
        <v>Территория 2</v>
      </c>
      <c r="O103" s="203" t="s">
        <v>53</v>
      </c>
      <c r="P103" s="197"/>
      <c r="Q103" s="197" t="s">
        <v>117</v>
      </c>
      <c r="R103" s="247"/>
      <c r="S103" s="248" t="s">
        <v>53</v>
      </c>
      <c r="T103" s="248"/>
      <c r="U103" s="248" t="s">
        <v>117</v>
      </c>
      <c r="V103" s="249"/>
      <c r="W103" s="245"/>
      <c r="Y103" s="233"/>
      <c r="Z103" s="233" t="s">
        <v>101</v>
      </c>
      <c r="AA103" s="233"/>
      <c r="AB103" s="233"/>
      <c r="AC103" s="233" t="s">
        <v>257</v>
      </c>
      <c r="AD103" s="233" t="s">
        <v>258</v>
      </c>
      <c r="AE103" s="233" t="s">
        <v>262</v>
      </c>
      <c r="AF103" s="233" t="s">
        <v>263</v>
      </c>
      <c r="AG103" s="233" t="s">
        <v>264</v>
      </c>
      <c r="AH103" s="233" t="str">
        <f aca="false">IF($E$100=0,"",$E$100)</f>
        <v>Тариф на горячую воду (горячее водоснабжение)</v>
      </c>
      <c r="AI103" s="233" t="str">
        <f aca="false">IF($G$100=0,"",$G$100)</f>
        <v>Горячее водоснабжение</v>
      </c>
      <c r="AJ103" s="233" t="str">
        <f aca="false">IF($J$100=0,"",$J$100)</f>
        <v>тариф на горячую воду в закрытой системе горячего водоснабжения</v>
      </c>
      <c r="AK103" s="233" t="str">
        <f aca="false">IF($K$103="нет","без дифференциации",IF($N$103=0,"",$N$103))</f>
        <v>Территория 2</v>
      </c>
      <c r="AL103" s="52" t="str">
        <f aca="false">IF($O$103="нет","без дифференциации",IF($R$103=0,"",$R$103))</f>
        <v>без дифференциации</v>
      </c>
      <c r="AM103" s="52"/>
      <c r="AN103" s="233" t="n">
        <f aca="false">$I$100</f>
        <v>1</v>
      </c>
      <c r="AO103" s="233" t="str">
        <f aca="false">$I$100&amp;"."&amp;$M$103</f>
        <v>1.2</v>
      </c>
      <c r="AP103" s="233" t="str">
        <f aca="false">$I$100&amp;"."&amp;$M$103&amp;"."&amp;$Q$103</f>
        <v>1.2.1</v>
      </c>
      <c r="AQ103" s="233"/>
    </row>
    <row r="104" customFormat="false" ht="17.25" hidden="false" customHeight="true" outlineLevel="0" collapsed="false">
      <c r="A104" s="222"/>
      <c r="B104" s="174"/>
      <c r="D104" s="223"/>
      <c r="E104" s="224"/>
      <c r="F104" s="225"/>
      <c r="G104" s="244"/>
      <c r="H104" s="219"/>
      <c r="I104" s="219"/>
      <c r="J104" s="245"/>
      <c r="K104" s="203"/>
      <c r="L104" s="197"/>
      <c r="M104" s="197"/>
      <c r="N104" s="246"/>
      <c r="O104" s="203"/>
      <c r="P104" s="197"/>
      <c r="Q104" s="197"/>
      <c r="R104" s="247"/>
      <c r="S104" s="248"/>
      <c r="T104" s="250"/>
      <c r="U104" s="251"/>
      <c r="V104" s="251"/>
      <c r="W104" s="245"/>
      <c r="AL104" s="174"/>
      <c r="AM104" s="174"/>
      <c r="AN104" s="174"/>
      <c r="AO104" s="174"/>
      <c r="AP104" s="174"/>
      <c r="AQ104" s="174"/>
    </row>
    <row r="105" customFormat="false" ht="17.25" hidden="false" customHeight="true" outlineLevel="0" collapsed="false">
      <c r="A105" s="222"/>
      <c r="B105" s="174"/>
      <c r="D105" s="223"/>
      <c r="E105" s="224"/>
      <c r="F105" s="225"/>
      <c r="G105" s="244"/>
      <c r="H105" s="219"/>
      <c r="I105" s="219"/>
      <c r="J105" s="245"/>
      <c r="K105" s="203"/>
      <c r="L105" s="197"/>
      <c r="M105" s="197"/>
      <c r="N105" s="246"/>
      <c r="O105" s="203"/>
      <c r="P105" s="252"/>
      <c r="Q105" s="253"/>
      <c r="R105" s="253" t="s">
        <v>261</v>
      </c>
      <c r="S105" s="254"/>
      <c r="T105" s="254"/>
      <c r="U105" s="254"/>
      <c r="V105" s="254"/>
      <c r="W105" s="255"/>
      <c r="AL105" s="174"/>
      <c r="AM105" s="174"/>
      <c r="AN105" s="174"/>
      <c r="AO105" s="174"/>
      <c r="AP105" s="174"/>
      <c r="AQ105" s="174"/>
    </row>
    <row r="106" customFormat="false" ht="17.25" hidden="false" customHeight="true" outlineLevel="0" collapsed="false">
      <c r="A106" s="222"/>
      <c r="B106" s="174"/>
      <c r="C106" s="116"/>
      <c r="D106" s="223"/>
      <c r="E106" s="224"/>
      <c r="F106" s="225"/>
      <c r="G106" s="244"/>
      <c r="H106" s="219"/>
      <c r="I106" s="219"/>
      <c r="J106" s="245"/>
      <c r="K106" s="203"/>
      <c r="L106" s="197" t="s">
        <v>100</v>
      </c>
      <c r="M106" s="197" t="s">
        <v>86</v>
      </c>
      <c r="N106" s="246" t="str">
        <f aca="false">IF(Z106="","",INDEX(TERRITORY_MR_LIST,MATCH(Z106,TERRITORY_LIST_ID,0)))</f>
        <v>Территория 3</v>
      </c>
      <c r="O106" s="203" t="s">
        <v>53</v>
      </c>
      <c r="P106" s="197"/>
      <c r="Q106" s="197" t="s">
        <v>117</v>
      </c>
      <c r="R106" s="247"/>
      <c r="S106" s="248" t="s">
        <v>53</v>
      </c>
      <c r="T106" s="248"/>
      <c r="U106" s="248" t="s">
        <v>117</v>
      </c>
      <c r="V106" s="249"/>
      <c r="W106" s="245"/>
      <c r="Y106" s="233"/>
      <c r="Z106" s="233" t="s">
        <v>106</v>
      </c>
      <c r="AA106" s="233"/>
      <c r="AB106" s="233"/>
      <c r="AC106" s="233" t="s">
        <v>257</v>
      </c>
      <c r="AD106" s="233" t="s">
        <v>258</v>
      </c>
      <c r="AE106" s="233" t="s">
        <v>265</v>
      </c>
      <c r="AF106" s="233" t="s">
        <v>266</v>
      </c>
      <c r="AG106" s="233" t="s">
        <v>267</v>
      </c>
      <c r="AH106" s="233" t="str">
        <f aca="false">IF($E$100=0,"",$E$100)</f>
        <v>Тариф на горячую воду (горячее водоснабжение)</v>
      </c>
      <c r="AI106" s="233" t="str">
        <f aca="false">IF($G$100=0,"",$G$100)</f>
        <v>Горячее водоснабжение</v>
      </c>
      <c r="AJ106" s="233" t="str">
        <f aca="false">IF($J$100=0,"",$J$100)</f>
        <v>тариф на горячую воду в закрытой системе горячего водоснабжения</v>
      </c>
      <c r="AK106" s="233" t="str">
        <f aca="false">IF($K$106="нет","без дифференциации",IF($N$106=0,"",$N$106))</f>
        <v>Территория 3</v>
      </c>
      <c r="AL106" s="52" t="str">
        <f aca="false">IF($O$106="нет","без дифференциации",IF($R$106=0,"",$R$106))</f>
        <v>без дифференциации</v>
      </c>
      <c r="AM106" s="52"/>
      <c r="AN106" s="233" t="n">
        <f aca="false">$I$100</f>
        <v>1</v>
      </c>
      <c r="AO106" s="233" t="str">
        <f aca="false">$I$100&amp;"."&amp;$M$106</f>
        <v>1.3</v>
      </c>
      <c r="AP106" s="233" t="str">
        <f aca="false">$I$100&amp;"."&amp;$M$106&amp;"."&amp;$Q$106</f>
        <v>1.3.1</v>
      </c>
      <c r="AQ106" s="233"/>
    </row>
    <row r="107" customFormat="false" ht="17.25" hidden="false" customHeight="true" outlineLevel="0" collapsed="false">
      <c r="A107" s="222"/>
      <c r="B107" s="174"/>
      <c r="D107" s="223"/>
      <c r="E107" s="224"/>
      <c r="F107" s="225"/>
      <c r="G107" s="244"/>
      <c r="H107" s="219"/>
      <c r="I107" s="219"/>
      <c r="J107" s="245"/>
      <c r="K107" s="203"/>
      <c r="L107" s="197"/>
      <c r="M107" s="197"/>
      <c r="N107" s="246"/>
      <c r="O107" s="203"/>
      <c r="P107" s="197"/>
      <c r="Q107" s="197"/>
      <c r="R107" s="247"/>
      <c r="S107" s="248"/>
      <c r="T107" s="250"/>
      <c r="U107" s="251"/>
      <c r="V107" s="251"/>
      <c r="W107" s="245"/>
      <c r="AL107" s="174"/>
      <c r="AM107" s="174"/>
      <c r="AN107" s="174"/>
      <c r="AO107" s="174"/>
      <c r="AP107" s="174"/>
      <c r="AQ107" s="174"/>
    </row>
    <row r="108" customFormat="false" ht="17.25" hidden="false" customHeight="true" outlineLevel="0" collapsed="false">
      <c r="A108" s="222"/>
      <c r="B108" s="174"/>
      <c r="D108" s="223"/>
      <c r="E108" s="224"/>
      <c r="F108" s="225"/>
      <c r="G108" s="244"/>
      <c r="H108" s="219"/>
      <c r="I108" s="219"/>
      <c r="J108" s="245"/>
      <c r="K108" s="203"/>
      <c r="L108" s="197"/>
      <c r="M108" s="197"/>
      <c r="N108" s="246"/>
      <c r="O108" s="203"/>
      <c r="P108" s="252"/>
      <c r="Q108" s="253"/>
      <c r="R108" s="253" t="s">
        <v>261</v>
      </c>
      <c r="S108" s="254"/>
      <c r="T108" s="254"/>
      <c r="U108" s="254"/>
      <c r="V108" s="254"/>
      <c r="W108" s="255"/>
      <c r="AL108" s="174"/>
      <c r="AM108" s="174"/>
      <c r="AN108" s="174"/>
      <c r="AO108" s="174"/>
      <c r="AP108" s="174"/>
      <c r="AQ108" s="174"/>
    </row>
    <row r="109" s="174" customFormat="true" ht="17.25" hidden="false" customHeight="true" outlineLevel="0" collapsed="false">
      <c r="A109" s="222"/>
      <c r="D109" s="223"/>
      <c r="E109" s="224"/>
      <c r="F109" s="225"/>
      <c r="G109" s="244"/>
      <c r="H109" s="219"/>
      <c r="I109" s="219"/>
      <c r="J109" s="245"/>
      <c r="K109" s="203"/>
      <c r="L109" s="252"/>
      <c r="M109" s="253"/>
      <c r="N109" s="253" t="s">
        <v>268</v>
      </c>
      <c r="O109" s="253"/>
      <c r="P109" s="253"/>
      <c r="Q109" s="253"/>
      <c r="R109" s="253"/>
      <c r="S109" s="254"/>
      <c r="T109" s="254"/>
      <c r="U109" s="254"/>
      <c r="V109" s="254"/>
      <c r="W109" s="256"/>
      <c r="Y109" s="95"/>
      <c r="Z109" s="95"/>
      <c r="AA109" s="95"/>
      <c r="AB109" s="95"/>
      <c r="AC109" s="95"/>
      <c r="AD109" s="95"/>
      <c r="AE109" s="95"/>
      <c r="AF109" s="95"/>
      <c r="AG109" s="95"/>
      <c r="AH109" s="95"/>
      <c r="AI109" s="95"/>
      <c r="AJ109" s="95"/>
      <c r="AK109" s="95"/>
      <c r="AL109" s="95"/>
      <c r="AM109" s="95"/>
      <c r="AN109" s="95"/>
      <c r="AO109" s="95"/>
      <c r="AP109" s="95"/>
      <c r="AQ109" s="95"/>
    </row>
    <row r="110" s="174" customFormat="true" ht="17.25" hidden="false" customHeight="true" outlineLevel="0" collapsed="false">
      <c r="A110" s="222"/>
      <c r="D110" s="223"/>
      <c r="E110" s="224"/>
      <c r="F110" s="225"/>
      <c r="G110" s="244"/>
      <c r="H110" s="252"/>
      <c r="I110" s="253"/>
      <c r="J110" s="253" t="s">
        <v>269</v>
      </c>
      <c r="K110" s="253"/>
      <c r="L110" s="253"/>
      <c r="M110" s="253"/>
      <c r="N110" s="253"/>
      <c r="O110" s="253"/>
      <c r="P110" s="253"/>
      <c r="Q110" s="253"/>
      <c r="R110" s="253"/>
      <c r="S110" s="254"/>
      <c r="T110" s="254"/>
      <c r="U110" s="254"/>
      <c r="V110" s="254"/>
      <c r="W110" s="256"/>
      <c r="Y110" s="95"/>
      <c r="Z110" s="95"/>
      <c r="AA110" s="95"/>
      <c r="AB110" s="95"/>
      <c r="AC110" s="95"/>
      <c r="AD110" s="95"/>
      <c r="AE110" s="95"/>
      <c r="AF110" s="95"/>
      <c r="AG110" s="95"/>
      <c r="AH110" s="95"/>
      <c r="AI110" s="95"/>
      <c r="AJ110" s="95"/>
      <c r="AK110" s="95"/>
      <c r="AL110" s="95"/>
      <c r="AM110" s="95"/>
      <c r="AN110" s="95"/>
      <c r="AO110" s="95"/>
      <c r="AP110" s="95"/>
      <c r="AQ110" s="95"/>
    </row>
    <row r="111" s="174" customFormat="true" ht="17.25" hidden="false" customHeight="true" outlineLevel="0" collapsed="false">
      <c r="A111" s="222"/>
      <c r="C111" s="116"/>
      <c r="D111" s="223" t="n">
        <v>2</v>
      </c>
      <c r="E111" s="224" t="s">
        <v>270</v>
      </c>
      <c r="F111" s="225" t="s">
        <v>53</v>
      </c>
      <c r="G111" s="224"/>
      <c r="H111" s="226"/>
      <c r="I111" s="227"/>
      <c r="J111" s="228"/>
      <c r="K111" s="229"/>
      <c r="L111" s="229"/>
      <c r="M111" s="229"/>
      <c r="N111" s="230"/>
      <c r="O111" s="229"/>
      <c r="P111" s="229"/>
      <c r="Q111" s="229"/>
      <c r="R111" s="231"/>
      <c r="S111" s="229"/>
      <c r="T111" s="229"/>
      <c r="U111" s="229"/>
      <c r="V111" s="231"/>
      <c r="W111" s="232"/>
      <c r="X111" s="233"/>
      <c r="Y111" s="233"/>
      <c r="Z111" s="233"/>
      <c r="AA111" s="233"/>
      <c r="AB111" s="233"/>
      <c r="AC111" s="233" t="s">
        <v>271</v>
      </c>
      <c r="AD111" s="233" t="s">
        <v>272</v>
      </c>
      <c r="AE111" s="233" t="s">
        <v>273</v>
      </c>
      <c r="AF111" s="233" t="s">
        <v>274</v>
      </c>
      <c r="AG111" s="233"/>
      <c r="AH111" s="233" t="str">
        <f aca="false">IF($E$111=0,"",$E$111)</f>
        <v>Тариф на транспортировку горячей воды</v>
      </c>
      <c r="AI111" s="233" t="str">
        <f aca="false">IF($G$111=0,"",$G$111)</f>
        <v/>
      </c>
      <c r="AJ111" s="233" t="str">
        <f aca="false">IF($J$111=0,"",$J$111)</f>
        <v/>
      </c>
      <c r="AK111" s="233" t="str">
        <f aca="false">IF($K$111="нет","без дифференциации",IF($N$111=0,"",$N$111))</f>
        <v/>
      </c>
      <c r="AL111" s="233" t="str">
        <f aca="false">IF($O$111="нет","без дифференциации",IF($R$111=0,"",$R$111))</f>
        <v/>
      </c>
      <c r="AM111" s="233" t="str">
        <f aca="false">IF($S$111="нет","без дифференциации",IF($V$111=0,"",$V$111))</f>
        <v/>
      </c>
      <c r="AN111" s="240" t="n">
        <f aca="false">$I$111</f>
        <v>0</v>
      </c>
      <c r="AO111" s="233" t="str">
        <f aca="false">$I$111&amp;"."&amp;$M$111</f>
        <v>.</v>
      </c>
      <c r="AP111" s="95" t="str">
        <f aca="false">$I$111&amp;"."&amp;$M$111&amp;"."&amp;$Q$111</f>
        <v>..</v>
      </c>
      <c r="AQ111" s="95" t="str">
        <f aca="false">$I$111&amp;"."&amp;$M$111&amp;"."&amp;$Q$111&amp;"."&amp;$U$111</f>
        <v>...</v>
      </c>
    </row>
    <row r="112" s="174" customFormat="true" ht="17.25" hidden="false" customHeight="true" outlineLevel="0" collapsed="false">
      <c r="A112" s="222"/>
      <c r="D112" s="223"/>
      <c r="E112" s="224"/>
      <c r="F112" s="225"/>
      <c r="G112" s="224"/>
      <c r="H112" s="226"/>
      <c r="I112" s="227"/>
      <c r="J112" s="228"/>
      <c r="K112" s="229"/>
      <c r="L112" s="229"/>
      <c r="M112" s="229"/>
      <c r="N112" s="230"/>
      <c r="O112" s="229"/>
      <c r="P112" s="229"/>
      <c r="Q112" s="229"/>
      <c r="R112" s="231"/>
      <c r="S112" s="229"/>
      <c r="T112" s="234"/>
      <c r="U112" s="234"/>
      <c r="V112" s="234"/>
      <c r="W112" s="235"/>
      <c r="X112" s="95"/>
      <c r="Y112" s="95"/>
      <c r="Z112" s="95"/>
      <c r="AA112" s="95"/>
      <c r="AB112" s="95"/>
      <c r="AC112" s="95"/>
      <c r="AD112" s="95"/>
      <c r="AE112" s="95"/>
      <c r="AF112" s="95"/>
      <c r="AG112" s="95"/>
      <c r="AH112" s="95"/>
      <c r="AI112" s="95"/>
      <c r="AJ112" s="95"/>
      <c r="AK112" s="95"/>
      <c r="AL112" s="95"/>
      <c r="AM112" s="95"/>
      <c r="AN112" s="95"/>
      <c r="AO112" s="95"/>
      <c r="AP112" s="95"/>
      <c r="AQ112" s="95"/>
    </row>
    <row r="113" s="174" customFormat="true" ht="17.25" hidden="false" customHeight="true" outlineLevel="0" collapsed="false">
      <c r="A113" s="222"/>
      <c r="D113" s="223"/>
      <c r="E113" s="224"/>
      <c r="F113" s="225"/>
      <c r="G113" s="224"/>
      <c r="H113" s="226"/>
      <c r="I113" s="227"/>
      <c r="J113" s="228"/>
      <c r="K113" s="229"/>
      <c r="L113" s="229"/>
      <c r="M113" s="229"/>
      <c r="N113" s="230"/>
      <c r="O113" s="229"/>
      <c r="P113" s="113"/>
      <c r="Q113" s="234"/>
      <c r="R113" s="234"/>
      <c r="W113" s="235"/>
      <c r="X113" s="95"/>
      <c r="Y113" s="95"/>
      <c r="Z113" s="95"/>
      <c r="AA113" s="95"/>
      <c r="AB113" s="95"/>
      <c r="AC113" s="95"/>
      <c r="AD113" s="95"/>
      <c r="AE113" s="95"/>
      <c r="AF113" s="95"/>
      <c r="AG113" s="95"/>
      <c r="AH113" s="95"/>
      <c r="AI113" s="95"/>
      <c r="AJ113" s="95"/>
      <c r="AK113" s="95"/>
      <c r="AL113" s="95"/>
      <c r="AM113" s="95"/>
      <c r="AN113" s="95"/>
      <c r="AO113" s="95"/>
      <c r="AP113" s="95"/>
      <c r="AQ113" s="95"/>
    </row>
    <row r="114" s="174" customFormat="true" ht="17.25" hidden="false" customHeight="true" outlineLevel="0" collapsed="false">
      <c r="A114" s="222"/>
      <c r="D114" s="223"/>
      <c r="E114" s="224"/>
      <c r="F114" s="225"/>
      <c r="G114" s="224"/>
      <c r="H114" s="226"/>
      <c r="I114" s="227"/>
      <c r="J114" s="228"/>
      <c r="K114" s="229"/>
      <c r="L114" s="234"/>
      <c r="M114" s="234"/>
      <c r="N114" s="234"/>
      <c r="O114" s="234"/>
      <c r="P114" s="234"/>
      <c r="Q114" s="234"/>
      <c r="R114" s="234"/>
      <c r="W114" s="235"/>
      <c r="X114" s="95"/>
      <c r="Y114" s="95"/>
      <c r="Z114" s="95"/>
      <c r="AA114" s="95"/>
      <c r="AB114" s="95"/>
      <c r="AC114" s="95"/>
      <c r="AD114" s="95"/>
      <c r="AE114" s="95"/>
      <c r="AF114" s="95"/>
      <c r="AG114" s="95"/>
      <c r="AH114" s="95"/>
      <c r="AI114" s="95"/>
      <c r="AJ114" s="95"/>
      <c r="AK114" s="95"/>
      <c r="AL114" s="95"/>
      <c r="AM114" s="95"/>
      <c r="AN114" s="95"/>
      <c r="AO114" s="95"/>
      <c r="AP114" s="95"/>
      <c r="AQ114" s="95"/>
    </row>
    <row r="115" s="174" customFormat="true" ht="17.25" hidden="false" customHeight="true" outlineLevel="0" collapsed="false">
      <c r="A115" s="222"/>
      <c r="D115" s="223"/>
      <c r="E115" s="224"/>
      <c r="F115" s="225"/>
      <c r="G115" s="224"/>
      <c r="H115" s="236"/>
      <c r="I115" s="237"/>
      <c r="J115" s="237"/>
      <c r="K115" s="237"/>
      <c r="L115" s="237"/>
      <c r="M115" s="237"/>
      <c r="N115" s="237"/>
      <c r="O115" s="237"/>
      <c r="P115" s="237"/>
      <c r="Q115" s="237"/>
      <c r="R115" s="237"/>
      <c r="S115" s="238"/>
      <c r="T115" s="238"/>
      <c r="U115" s="238"/>
      <c r="V115" s="238"/>
      <c r="W115" s="239"/>
      <c r="X115" s="95"/>
      <c r="Y115" s="95"/>
      <c r="Z115" s="95"/>
      <c r="AA115" s="95"/>
      <c r="AB115" s="95"/>
      <c r="AC115" s="95"/>
      <c r="AD115" s="95"/>
      <c r="AE115" s="95"/>
      <c r="AF115" s="95"/>
      <c r="AG115" s="95"/>
      <c r="AH115" s="95"/>
      <c r="AI115" s="95"/>
      <c r="AJ115" s="95"/>
      <c r="AK115" s="95"/>
      <c r="AL115" s="95"/>
      <c r="AM115" s="95"/>
      <c r="AN115" s="95"/>
      <c r="AO115" s="95"/>
      <c r="AP115" s="95"/>
      <c r="AQ115" s="95"/>
    </row>
    <row r="116" s="174" customFormat="true" ht="17.25" hidden="false" customHeight="true" outlineLevel="0" collapsed="false">
      <c r="A116" s="222"/>
      <c r="C116" s="116"/>
      <c r="D116" s="223" t="n">
        <v>3</v>
      </c>
      <c r="E116" s="224" t="s">
        <v>275</v>
      </c>
      <c r="F116" s="225" t="s">
        <v>53</v>
      </c>
      <c r="G116" s="224"/>
      <c r="H116" s="226"/>
      <c r="I116" s="227"/>
      <c r="J116" s="228"/>
      <c r="K116" s="229"/>
      <c r="L116" s="229"/>
      <c r="M116" s="229"/>
      <c r="N116" s="230"/>
      <c r="O116" s="229"/>
      <c r="P116" s="229"/>
      <c r="Q116" s="229"/>
      <c r="R116" s="231"/>
      <c r="S116" s="229"/>
      <c r="T116" s="229"/>
      <c r="U116" s="229"/>
      <c r="V116" s="231"/>
      <c r="W116" s="232"/>
      <c r="X116" s="233"/>
      <c r="Y116" s="233"/>
      <c r="Z116" s="233"/>
      <c r="AA116" s="233"/>
      <c r="AB116" s="233"/>
      <c r="AC116" s="233" t="s">
        <v>276</v>
      </c>
      <c r="AD116" s="233" t="s">
        <v>277</v>
      </c>
      <c r="AE116" s="233" t="s">
        <v>278</v>
      </c>
      <c r="AF116" s="233" t="s">
        <v>279</v>
      </c>
      <c r="AG116" s="233"/>
      <c r="AH116" s="233" t="str">
        <f aca="false">IF($E$116=0,"",$E$116)</f>
        <v>Тариф на подключение (технологическое присоединение) к централизованной системе горячего водоснабжения</v>
      </c>
      <c r="AI116" s="233" t="str">
        <f aca="false">IF($G$116=0,"",$G$116)</f>
        <v/>
      </c>
      <c r="AJ116" s="233" t="str">
        <f aca="false">IF($J$116=0,"",$J$116)</f>
        <v/>
      </c>
      <c r="AK116" s="233" t="str">
        <f aca="false">IF($K$116="нет","без дифференциации",IF($N$116=0,"",$N$116))</f>
        <v/>
      </c>
      <c r="AL116" s="233" t="str">
        <f aca="false">IF($O$116="нет","без дифференциации",IF($R$116=0,"",$R$116))</f>
        <v/>
      </c>
      <c r="AM116" s="233" t="str">
        <f aca="false">IF($S$116="нет","без дифференциации",IF($V$116=0,"",$V$116))</f>
        <v/>
      </c>
      <c r="AN116" s="240" t="n">
        <f aca="false">$I$116</f>
        <v>0</v>
      </c>
      <c r="AO116" s="233" t="str">
        <f aca="false">$I$116&amp;"."&amp;$M$116</f>
        <v>.</v>
      </c>
      <c r="AP116" s="95" t="str">
        <f aca="false">$I$116&amp;"."&amp;$M$116&amp;"."&amp;$Q$116</f>
        <v>..</v>
      </c>
      <c r="AQ116" s="95" t="str">
        <f aca="false">$I$116&amp;"."&amp;$M$116&amp;"."&amp;$Q$116&amp;"."&amp;$U$116</f>
        <v>...</v>
      </c>
    </row>
    <row r="117" s="174" customFormat="true" ht="17.25" hidden="false" customHeight="true" outlineLevel="0" collapsed="false">
      <c r="A117" s="222"/>
      <c r="D117" s="223"/>
      <c r="E117" s="224"/>
      <c r="F117" s="225"/>
      <c r="G117" s="224"/>
      <c r="H117" s="226"/>
      <c r="I117" s="227"/>
      <c r="J117" s="228"/>
      <c r="K117" s="229"/>
      <c r="L117" s="229"/>
      <c r="M117" s="229"/>
      <c r="N117" s="230"/>
      <c r="O117" s="229"/>
      <c r="P117" s="229"/>
      <c r="Q117" s="229"/>
      <c r="R117" s="231"/>
      <c r="S117" s="229"/>
      <c r="T117" s="234"/>
      <c r="U117" s="234"/>
      <c r="V117" s="234"/>
      <c r="W117" s="235"/>
      <c r="X117" s="95"/>
      <c r="Y117" s="95"/>
      <c r="Z117" s="95"/>
      <c r="AA117" s="95"/>
      <c r="AB117" s="95"/>
      <c r="AC117" s="95"/>
      <c r="AD117" s="95"/>
      <c r="AE117" s="95"/>
      <c r="AF117" s="95"/>
      <c r="AG117" s="95"/>
      <c r="AH117" s="95"/>
      <c r="AI117" s="95"/>
      <c r="AJ117" s="95"/>
      <c r="AK117" s="95"/>
      <c r="AL117" s="95"/>
      <c r="AM117" s="95"/>
      <c r="AN117" s="95"/>
      <c r="AO117" s="95"/>
      <c r="AP117" s="95"/>
      <c r="AQ117" s="95"/>
    </row>
    <row r="118" s="174" customFormat="true" ht="17.25" hidden="false" customHeight="true" outlineLevel="0" collapsed="false">
      <c r="A118" s="222"/>
      <c r="D118" s="223"/>
      <c r="E118" s="224"/>
      <c r="F118" s="225"/>
      <c r="G118" s="224"/>
      <c r="H118" s="226"/>
      <c r="I118" s="227"/>
      <c r="J118" s="228"/>
      <c r="K118" s="229"/>
      <c r="L118" s="229"/>
      <c r="M118" s="229"/>
      <c r="N118" s="230"/>
      <c r="O118" s="229"/>
      <c r="P118" s="113"/>
      <c r="Q118" s="234"/>
      <c r="R118" s="234"/>
      <c r="W118" s="235"/>
      <c r="X118" s="95"/>
      <c r="Y118" s="95"/>
      <c r="Z118" s="95"/>
      <c r="AA118" s="95"/>
      <c r="AB118" s="95"/>
      <c r="AC118" s="95"/>
      <c r="AD118" s="95"/>
      <c r="AE118" s="95"/>
      <c r="AF118" s="95"/>
      <c r="AG118" s="95"/>
      <c r="AH118" s="95"/>
      <c r="AI118" s="95"/>
      <c r="AJ118" s="95"/>
      <c r="AK118" s="95"/>
      <c r="AL118" s="95"/>
      <c r="AM118" s="95"/>
      <c r="AN118" s="95"/>
      <c r="AO118" s="95"/>
      <c r="AP118" s="95"/>
      <c r="AQ118" s="95"/>
    </row>
    <row r="119" s="174" customFormat="true" ht="17.25" hidden="false" customHeight="true" outlineLevel="0" collapsed="false">
      <c r="A119" s="222"/>
      <c r="D119" s="223"/>
      <c r="E119" s="224"/>
      <c r="F119" s="225"/>
      <c r="G119" s="224"/>
      <c r="H119" s="226"/>
      <c r="I119" s="227"/>
      <c r="J119" s="228"/>
      <c r="K119" s="229"/>
      <c r="L119" s="234"/>
      <c r="M119" s="234"/>
      <c r="N119" s="234"/>
      <c r="O119" s="234"/>
      <c r="P119" s="234"/>
      <c r="Q119" s="234"/>
      <c r="R119" s="234"/>
      <c r="W119" s="235"/>
      <c r="X119" s="95"/>
      <c r="Y119" s="95"/>
      <c r="Z119" s="95"/>
      <c r="AA119" s="95"/>
      <c r="AB119" s="95"/>
      <c r="AC119" s="95"/>
      <c r="AD119" s="95"/>
      <c r="AE119" s="95"/>
      <c r="AF119" s="95"/>
      <c r="AG119" s="95"/>
      <c r="AH119" s="95"/>
      <c r="AI119" s="95"/>
      <c r="AJ119" s="95"/>
      <c r="AK119" s="95"/>
      <c r="AL119" s="95"/>
      <c r="AM119" s="95"/>
      <c r="AN119" s="95"/>
      <c r="AO119" s="95"/>
      <c r="AP119" s="95"/>
      <c r="AQ119" s="95"/>
    </row>
    <row r="120" s="174" customFormat="true" ht="17.25" hidden="false" customHeight="true" outlineLevel="0" collapsed="false">
      <c r="A120" s="222"/>
      <c r="D120" s="223"/>
      <c r="E120" s="224"/>
      <c r="F120" s="225"/>
      <c r="G120" s="224"/>
      <c r="H120" s="236"/>
      <c r="I120" s="237"/>
      <c r="J120" s="237"/>
      <c r="K120" s="237"/>
      <c r="L120" s="237"/>
      <c r="M120" s="237"/>
      <c r="N120" s="237"/>
      <c r="O120" s="237"/>
      <c r="P120" s="237"/>
      <c r="Q120" s="237"/>
      <c r="R120" s="237"/>
      <c r="S120" s="238"/>
      <c r="T120" s="238"/>
      <c r="U120" s="238"/>
      <c r="V120" s="238"/>
      <c r="W120" s="239"/>
      <c r="X120" s="95"/>
      <c r="Y120" s="95"/>
      <c r="Z120" s="95"/>
      <c r="AA120" s="95"/>
      <c r="AB120" s="95"/>
      <c r="AC120" s="95"/>
      <c r="AD120" s="95"/>
      <c r="AE120" s="95"/>
      <c r="AF120" s="95"/>
      <c r="AG120" s="95"/>
      <c r="AH120" s="95"/>
      <c r="AI120" s="95"/>
      <c r="AJ120" s="95"/>
      <c r="AK120" s="95"/>
      <c r="AL120" s="95"/>
      <c r="AM120" s="95"/>
      <c r="AN120" s="95"/>
      <c r="AO120" s="95"/>
      <c r="AP120" s="95"/>
      <c r="AQ120" s="95"/>
    </row>
    <row r="121" s="174" customFormat="true" ht="11.25" hidden="true" customHeight="true" outlineLevel="0" collapsed="false">
      <c r="A121" s="117"/>
      <c r="B121" s="117"/>
      <c r="Y121" s="95"/>
      <c r="Z121" s="95"/>
      <c r="AA121" s="95"/>
      <c r="AB121" s="95"/>
      <c r="AC121" s="95"/>
      <c r="AD121" s="95"/>
      <c r="AE121" s="95"/>
      <c r="AF121" s="95"/>
      <c r="AG121" s="95"/>
      <c r="AH121" s="95"/>
      <c r="AI121" s="95"/>
      <c r="AJ121" s="95"/>
      <c r="AK121" s="95"/>
      <c r="AL121" s="95"/>
      <c r="AM121" s="95"/>
      <c r="AN121" s="95"/>
      <c r="AO121" s="95"/>
      <c r="AP121" s="95"/>
      <c r="AQ121" s="95"/>
    </row>
    <row r="122" s="174" customFormat="true" ht="17.25" hidden="true" customHeight="true" outlineLevel="0" collapsed="false">
      <c r="A122" s="222"/>
      <c r="C122" s="116"/>
      <c r="D122" s="223" t="n">
        <v>1</v>
      </c>
      <c r="E122" s="224" t="s">
        <v>280</v>
      </c>
      <c r="F122" s="225" t="s">
        <v>53</v>
      </c>
      <c r="G122" s="224"/>
      <c r="H122" s="226"/>
      <c r="I122" s="227"/>
      <c r="J122" s="228"/>
      <c r="K122" s="229"/>
      <c r="L122" s="229"/>
      <c r="M122" s="229"/>
      <c r="N122" s="230"/>
      <c r="O122" s="229"/>
      <c r="P122" s="229"/>
      <c r="Q122" s="229"/>
      <c r="R122" s="231"/>
      <c r="S122" s="229"/>
      <c r="T122" s="229"/>
      <c r="U122" s="229"/>
      <c r="V122" s="231"/>
      <c r="W122" s="232"/>
      <c r="Y122" s="233"/>
      <c r="Z122" s="233"/>
      <c r="AA122" s="233"/>
      <c r="AB122" s="233"/>
      <c r="AC122" s="233" t="s">
        <v>281</v>
      </c>
      <c r="AD122" s="233" t="s">
        <v>282</v>
      </c>
      <c r="AE122" s="233" t="s">
        <v>283</v>
      </c>
      <c r="AF122" s="233" t="s">
        <v>284</v>
      </c>
      <c r="AG122" s="233"/>
      <c r="AH122" s="233" t="str">
        <f aca="false">IF($E$122=0,"",$E$122)</f>
        <v>Тариф на водоотведение</v>
      </c>
      <c r="AI122" s="233" t="str">
        <f aca="false">IF($G$122=0,"",$G$122)</f>
        <v/>
      </c>
      <c r="AJ122" s="233" t="str">
        <f aca="false">IF($J$122=0,"",$J$122)</f>
        <v/>
      </c>
      <c r="AK122" s="233" t="str">
        <f aca="false">IF($K$122="нет","без дифференциации",IF($N$122=0,"",$N$122))</f>
        <v/>
      </c>
      <c r="AL122" s="233" t="str">
        <f aca="false">IF($O$122="нет","без дифференциации",IF($R$122=0,"",$R$122))</f>
        <v/>
      </c>
      <c r="AM122" s="233" t="str">
        <f aca="false">IF($S$122="нет","без дифференциации",IF($V$122=0,"",$V$122))</f>
        <v/>
      </c>
      <c r="AN122" s="233" t="n">
        <f aca="false">$I$122</f>
        <v>0</v>
      </c>
      <c r="AO122" s="233" t="str">
        <f aca="false">$I$122&amp;"."&amp;$M$122</f>
        <v>.</v>
      </c>
      <c r="AP122" s="233" t="str">
        <f aca="false">$I$122&amp;"."&amp;$M$122&amp;"."&amp;$Q$122</f>
        <v>..</v>
      </c>
      <c r="AQ122" s="233" t="str">
        <f aca="false">$I$122&amp;"."&amp;$M$122&amp;"."&amp;$Q$122&amp;"."&amp;$U$122</f>
        <v>...</v>
      </c>
    </row>
    <row r="123" s="174" customFormat="true" ht="17.25" hidden="true" customHeight="true" outlineLevel="0" collapsed="false">
      <c r="A123" s="222"/>
      <c r="D123" s="223"/>
      <c r="E123" s="224"/>
      <c r="F123" s="225"/>
      <c r="G123" s="224"/>
      <c r="H123" s="226"/>
      <c r="I123" s="227"/>
      <c r="J123" s="228"/>
      <c r="K123" s="229"/>
      <c r="L123" s="229"/>
      <c r="M123" s="229"/>
      <c r="N123" s="230"/>
      <c r="O123" s="229"/>
      <c r="P123" s="229"/>
      <c r="Q123" s="229"/>
      <c r="R123" s="231"/>
      <c r="S123" s="229"/>
      <c r="T123" s="234"/>
      <c r="U123" s="234"/>
      <c r="V123" s="234"/>
      <c r="W123" s="235"/>
      <c r="Y123" s="95"/>
      <c r="Z123" s="95"/>
      <c r="AA123" s="95"/>
      <c r="AB123" s="95"/>
      <c r="AC123" s="95"/>
      <c r="AD123" s="95"/>
      <c r="AE123" s="95"/>
      <c r="AF123" s="95"/>
      <c r="AG123" s="95"/>
      <c r="AH123" s="95"/>
      <c r="AI123" s="95"/>
      <c r="AJ123" s="95"/>
      <c r="AK123" s="95"/>
      <c r="AL123" s="95"/>
      <c r="AM123" s="95"/>
      <c r="AN123" s="95"/>
      <c r="AO123" s="95"/>
      <c r="AP123" s="95"/>
      <c r="AQ123" s="95"/>
    </row>
    <row r="124" s="174" customFormat="true" ht="17.25" hidden="true" customHeight="true" outlineLevel="0" collapsed="false">
      <c r="A124" s="222"/>
      <c r="C124" s="116"/>
      <c r="D124" s="223"/>
      <c r="E124" s="224"/>
      <c r="F124" s="225"/>
      <c r="G124" s="224"/>
      <c r="H124" s="226"/>
      <c r="I124" s="227"/>
      <c r="J124" s="228"/>
      <c r="K124" s="229"/>
      <c r="L124" s="229"/>
      <c r="M124" s="229"/>
      <c r="N124" s="230"/>
      <c r="O124" s="229"/>
      <c r="P124" s="113"/>
      <c r="Q124" s="234"/>
      <c r="R124" s="234"/>
      <c r="W124" s="235"/>
      <c r="Y124" s="233"/>
      <c r="Z124" s="233"/>
      <c r="AA124" s="233"/>
      <c r="AB124" s="233"/>
      <c r="AC124" s="233"/>
      <c r="AD124" s="233"/>
      <c r="AE124" s="233"/>
      <c r="AF124" s="233"/>
      <c r="AG124" s="233"/>
      <c r="AH124" s="233"/>
      <c r="AI124" s="233"/>
      <c r="AJ124" s="233"/>
      <c r="AK124" s="233"/>
      <c r="AL124" s="233"/>
      <c r="AM124" s="233"/>
      <c r="AN124" s="233"/>
      <c r="AO124" s="233"/>
      <c r="AP124" s="233"/>
      <c r="AQ124" s="233"/>
    </row>
    <row r="125" s="174" customFormat="true" ht="17.25" hidden="true" customHeight="true" outlineLevel="0" collapsed="false">
      <c r="A125" s="222"/>
      <c r="D125" s="223"/>
      <c r="E125" s="224"/>
      <c r="F125" s="225"/>
      <c r="G125" s="224"/>
      <c r="H125" s="226"/>
      <c r="I125" s="227"/>
      <c r="J125" s="228"/>
      <c r="K125" s="229"/>
      <c r="L125" s="234"/>
      <c r="M125" s="234"/>
      <c r="N125" s="234"/>
      <c r="O125" s="234"/>
      <c r="P125" s="234"/>
      <c r="Q125" s="234"/>
      <c r="R125" s="234"/>
      <c r="W125" s="235"/>
      <c r="Y125" s="95"/>
      <c r="Z125" s="95"/>
      <c r="AA125" s="95"/>
      <c r="AB125" s="95"/>
      <c r="AC125" s="95"/>
      <c r="AD125" s="95"/>
      <c r="AE125" s="95"/>
      <c r="AF125" s="95"/>
      <c r="AG125" s="95"/>
      <c r="AH125" s="95"/>
      <c r="AI125" s="95"/>
      <c r="AJ125" s="95"/>
      <c r="AK125" s="95"/>
      <c r="AL125" s="95"/>
      <c r="AM125" s="95"/>
      <c r="AN125" s="95"/>
      <c r="AO125" s="95"/>
      <c r="AP125" s="95"/>
      <c r="AQ125" s="95"/>
    </row>
    <row r="126" s="174" customFormat="true" ht="17.25" hidden="true" customHeight="true" outlineLevel="0" collapsed="false">
      <c r="A126" s="222"/>
      <c r="D126" s="223"/>
      <c r="E126" s="224"/>
      <c r="F126" s="225"/>
      <c r="G126" s="224"/>
      <c r="H126" s="236"/>
      <c r="I126" s="237"/>
      <c r="J126" s="237"/>
      <c r="K126" s="237"/>
      <c r="L126" s="237"/>
      <c r="M126" s="237"/>
      <c r="N126" s="237"/>
      <c r="O126" s="237"/>
      <c r="P126" s="237"/>
      <c r="Q126" s="237"/>
      <c r="R126" s="237"/>
      <c r="S126" s="238"/>
      <c r="T126" s="238"/>
      <c r="U126" s="238"/>
      <c r="V126" s="238"/>
      <c r="W126" s="239"/>
      <c r="Y126" s="95"/>
      <c r="Z126" s="95"/>
      <c r="AA126" s="95"/>
      <c r="AB126" s="95"/>
      <c r="AC126" s="95"/>
      <c r="AD126" s="95"/>
      <c r="AE126" s="95"/>
      <c r="AF126" s="95"/>
      <c r="AG126" s="95"/>
      <c r="AH126" s="95"/>
      <c r="AI126" s="95"/>
      <c r="AJ126" s="95"/>
      <c r="AK126" s="95"/>
      <c r="AL126" s="95"/>
      <c r="AM126" s="95"/>
      <c r="AN126" s="95"/>
      <c r="AO126" s="95"/>
      <c r="AP126" s="95"/>
      <c r="AQ126" s="95"/>
    </row>
    <row r="127" s="174" customFormat="true" ht="17.25" hidden="true" customHeight="true" outlineLevel="0" collapsed="false">
      <c r="A127" s="222"/>
      <c r="C127" s="116"/>
      <c r="D127" s="223" t="n">
        <v>2</v>
      </c>
      <c r="E127" s="224" t="s">
        <v>285</v>
      </c>
      <c r="F127" s="225" t="s">
        <v>53</v>
      </c>
      <c r="G127" s="224"/>
      <c r="H127" s="226"/>
      <c r="I127" s="227"/>
      <c r="J127" s="228"/>
      <c r="K127" s="229"/>
      <c r="L127" s="229"/>
      <c r="M127" s="229"/>
      <c r="N127" s="230"/>
      <c r="O127" s="229"/>
      <c r="P127" s="229"/>
      <c r="Q127" s="229"/>
      <c r="R127" s="231"/>
      <c r="S127" s="229"/>
      <c r="T127" s="229"/>
      <c r="U127" s="229"/>
      <c r="V127" s="231"/>
      <c r="W127" s="232"/>
      <c r="X127" s="233"/>
      <c r="Y127" s="233"/>
      <c r="Z127" s="233"/>
      <c r="AA127" s="233"/>
      <c r="AB127" s="233"/>
      <c r="AC127" s="233" t="s">
        <v>286</v>
      </c>
      <c r="AD127" s="233" t="s">
        <v>287</v>
      </c>
      <c r="AE127" s="233" t="s">
        <v>288</v>
      </c>
      <c r="AF127" s="233" t="s">
        <v>289</v>
      </c>
      <c r="AG127" s="233"/>
      <c r="AH127" s="233" t="str">
        <f aca="false">IF($E$127=0,"",$E$127)</f>
        <v>Тариф на транспортировку сточных вод</v>
      </c>
      <c r="AI127" s="233" t="str">
        <f aca="false">IF($G$127=0,"",$G$127)</f>
        <v/>
      </c>
      <c r="AJ127" s="233" t="str">
        <f aca="false">IF($J$127=0,"",$J$127)</f>
        <v/>
      </c>
      <c r="AK127" s="233" t="str">
        <f aca="false">IF($K$127="нет","без дифференциации",IF($N$127=0,"",$N$127))</f>
        <v/>
      </c>
      <c r="AL127" s="233" t="str">
        <f aca="false">IF($O$127="нет","без дифференциации",IF($R$127=0,"",$R$127))</f>
        <v/>
      </c>
      <c r="AM127" s="233" t="str">
        <f aca="false">IF($S$127="нет","без дифференциации",IF($V$127=0,"",$V$127))</f>
        <v/>
      </c>
      <c r="AN127" s="240" t="n">
        <f aca="false">$I$127</f>
        <v>0</v>
      </c>
      <c r="AO127" s="233" t="str">
        <f aca="false">$I$127&amp;"."&amp;$M$127</f>
        <v>.</v>
      </c>
      <c r="AP127" s="95" t="str">
        <f aca="false">$I$127&amp;"."&amp;$M$127&amp;"."&amp;$Q$127</f>
        <v>..</v>
      </c>
      <c r="AQ127" s="95" t="str">
        <f aca="false">$I$127&amp;"."&amp;$M$127&amp;"."&amp;$Q$127&amp;"."&amp;$U$127</f>
        <v>...</v>
      </c>
    </row>
    <row r="128" s="174" customFormat="true" ht="17.25" hidden="true" customHeight="true" outlineLevel="0" collapsed="false">
      <c r="A128" s="222"/>
      <c r="D128" s="223"/>
      <c r="E128" s="224"/>
      <c r="F128" s="225"/>
      <c r="G128" s="224"/>
      <c r="H128" s="226"/>
      <c r="I128" s="227"/>
      <c r="J128" s="228"/>
      <c r="K128" s="229"/>
      <c r="L128" s="229"/>
      <c r="M128" s="229"/>
      <c r="N128" s="230"/>
      <c r="O128" s="229"/>
      <c r="P128" s="229"/>
      <c r="Q128" s="229"/>
      <c r="R128" s="231"/>
      <c r="S128" s="229"/>
      <c r="T128" s="234"/>
      <c r="U128" s="234"/>
      <c r="V128" s="234"/>
      <c r="W128" s="235"/>
      <c r="X128" s="95"/>
      <c r="Y128" s="95"/>
      <c r="Z128" s="95"/>
      <c r="AA128" s="95"/>
      <c r="AB128" s="95"/>
      <c r="AC128" s="95"/>
      <c r="AD128" s="95"/>
      <c r="AE128" s="95"/>
      <c r="AF128" s="95"/>
      <c r="AG128" s="95"/>
      <c r="AH128" s="95"/>
      <c r="AI128" s="95"/>
      <c r="AJ128" s="95"/>
      <c r="AK128" s="95"/>
      <c r="AL128" s="95"/>
      <c r="AM128" s="95"/>
      <c r="AN128" s="95"/>
      <c r="AO128" s="95"/>
      <c r="AP128" s="95"/>
      <c r="AQ128" s="95"/>
    </row>
    <row r="129" s="174" customFormat="true" ht="17.25" hidden="true" customHeight="true" outlineLevel="0" collapsed="false">
      <c r="A129" s="222"/>
      <c r="D129" s="223"/>
      <c r="E129" s="224"/>
      <c r="F129" s="225"/>
      <c r="G129" s="224"/>
      <c r="H129" s="226"/>
      <c r="I129" s="227"/>
      <c r="J129" s="228"/>
      <c r="K129" s="229"/>
      <c r="L129" s="229"/>
      <c r="M129" s="229"/>
      <c r="N129" s="230"/>
      <c r="O129" s="229"/>
      <c r="P129" s="113"/>
      <c r="Q129" s="234"/>
      <c r="R129" s="234"/>
      <c r="W129" s="235"/>
      <c r="X129" s="95"/>
      <c r="Y129" s="95"/>
      <c r="Z129" s="95"/>
      <c r="AA129" s="95"/>
      <c r="AB129" s="95"/>
      <c r="AC129" s="95"/>
      <c r="AD129" s="95"/>
      <c r="AE129" s="95"/>
      <c r="AF129" s="95"/>
      <c r="AG129" s="95"/>
      <c r="AH129" s="95"/>
      <c r="AI129" s="95"/>
      <c r="AJ129" s="95"/>
      <c r="AK129" s="95"/>
      <c r="AL129" s="95"/>
      <c r="AM129" s="95"/>
      <c r="AN129" s="95"/>
      <c r="AO129" s="95"/>
      <c r="AP129" s="95"/>
      <c r="AQ129" s="95"/>
    </row>
    <row r="130" s="174" customFormat="true" ht="17.25" hidden="true" customHeight="true" outlineLevel="0" collapsed="false">
      <c r="A130" s="222"/>
      <c r="D130" s="223"/>
      <c r="E130" s="224"/>
      <c r="F130" s="225"/>
      <c r="G130" s="224"/>
      <c r="H130" s="226"/>
      <c r="I130" s="227"/>
      <c r="J130" s="228"/>
      <c r="K130" s="229"/>
      <c r="L130" s="234"/>
      <c r="M130" s="234"/>
      <c r="N130" s="234"/>
      <c r="O130" s="234"/>
      <c r="P130" s="234"/>
      <c r="Q130" s="234"/>
      <c r="R130" s="234"/>
      <c r="W130" s="235"/>
      <c r="X130" s="95"/>
      <c r="Y130" s="95"/>
      <c r="Z130" s="95"/>
      <c r="AA130" s="95"/>
      <c r="AB130" s="95"/>
      <c r="AC130" s="95"/>
      <c r="AD130" s="95"/>
      <c r="AE130" s="95"/>
      <c r="AF130" s="95"/>
      <c r="AG130" s="95"/>
      <c r="AH130" s="95"/>
      <c r="AI130" s="95"/>
      <c r="AJ130" s="95"/>
      <c r="AK130" s="95"/>
      <c r="AL130" s="95"/>
      <c r="AM130" s="95"/>
      <c r="AN130" s="95"/>
      <c r="AO130" s="95"/>
      <c r="AP130" s="95"/>
      <c r="AQ130" s="95"/>
    </row>
    <row r="131" s="174" customFormat="true" ht="17.25" hidden="true" customHeight="true" outlineLevel="0" collapsed="false">
      <c r="A131" s="222"/>
      <c r="D131" s="223"/>
      <c r="E131" s="224"/>
      <c r="F131" s="225"/>
      <c r="G131" s="224"/>
      <c r="H131" s="236"/>
      <c r="I131" s="237"/>
      <c r="J131" s="237"/>
      <c r="K131" s="237"/>
      <c r="L131" s="237"/>
      <c r="M131" s="237"/>
      <c r="N131" s="237"/>
      <c r="O131" s="237"/>
      <c r="P131" s="237"/>
      <c r="Q131" s="237"/>
      <c r="R131" s="237"/>
      <c r="S131" s="238"/>
      <c r="T131" s="238"/>
      <c r="U131" s="238"/>
      <c r="V131" s="238"/>
      <c r="W131" s="239"/>
      <c r="X131" s="95"/>
      <c r="Y131" s="95"/>
      <c r="Z131" s="95"/>
      <c r="AA131" s="95"/>
      <c r="AB131" s="95"/>
      <c r="AC131" s="95"/>
      <c r="AD131" s="95"/>
      <c r="AE131" s="95"/>
      <c r="AF131" s="95"/>
      <c r="AG131" s="95"/>
      <c r="AH131" s="95"/>
      <c r="AI131" s="95"/>
      <c r="AJ131" s="95"/>
      <c r="AK131" s="95"/>
      <c r="AL131" s="95"/>
      <c r="AM131" s="95"/>
      <c r="AN131" s="95"/>
      <c r="AO131" s="95"/>
      <c r="AP131" s="95"/>
      <c r="AQ131" s="95"/>
    </row>
    <row r="132" s="174" customFormat="true" ht="17.25" hidden="true" customHeight="true" outlineLevel="0" collapsed="false">
      <c r="A132" s="222"/>
      <c r="C132" s="116"/>
      <c r="D132" s="223" t="n">
        <v>3</v>
      </c>
      <c r="E132" s="224" t="s">
        <v>290</v>
      </c>
      <c r="F132" s="225" t="s">
        <v>53</v>
      </c>
      <c r="G132" s="224"/>
      <c r="H132" s="226"/>
      <c r="I132" s="227"/>
      <c r="J132" s="228"/>
      <c r="K132" s="229"/>
      <c r="L132" s="229"/>
      <c r="M132" s="229"/>
      <c r="N132" s="230"/>
      <c r="O132" s="229"/>
      <c r="P132" s="229"/>
      <c r="Q132" s="229"/>
      <c r="R132" s="231"/>
      <c r="S132" s="229"/>
      <c r="T132" s="229"/>
      <c r="U132" s="229"/>
      <c r="V132" s="231"/>
      <c r="W132" s="232"/>
      <c r="X132" s="233"/>
      <c r="Y132" s="233"/>
      <c r="Z132" s="233"/>
      <c r="AA132" s="233"/>
      <c r="AB132" s="233"/>
      <c r="AC132" s="233" t="s">
        <v>291</v>
      </c>
      <c r="AD132" s="233" t="s">
        <v>292</v>
      </c>
      <c r="AE132" s="233" t="s">
        <v>293</v>
      </c>
      <c r="AF132" s="233" t="s">
        <v>294</v>
      </c>
      <c r="AG132" s="233"/>
      <c r="AH132" s="233" t="str">
        <f aca="false">IF($E$132=0,"",$E$132)</f>
        <v>Тариф на подключение (технологическое присоединение) к централизованной системе водоотведения</v>
      </c>
      <c r="AI132" s="233" t="str">
        <f aca="false">IF($G$132=0,"",$G$132)</f>
        <v/>
      </c>
      <c r="AJ132" s="233" t="str">
        <f aca="false">IF($J$132=0,"",$J$132)</f>
        <v/>
      </c>
      <c r="AK132" s="233" t="str">
        <f aca="false">IF($K$132="нет","без дифференциации",IF($N$132=0,"",$N$132))</f>
        <v/>
      </c>
      <c r="AL132" s="233" t="str">
        <f aca="false">IF($O$132="нет","без дифференциации",IF($R$132=0,"",$R$132))</f>
        <v/>
      </c>
      <c r="AM132" s="233" t="str">
        <f aca="false">IF($S$132="нет","без дифференциации",IF($V$132=0,"",$V$132))</f>
        <v/>
      </c>
      <c r="AN132" s="240" t="n">
        <f aca="false">$I$132</f>
        <v>0</v>
      </c>
      <c r="AO132" s="233" t="str">
        <f aca="false">$I$132&amp;"."&amp;$M$132</f>
        <v>.</v>
      </c>
      <c r="AP132" s="95" t="str">
        <f aca="false">$I$132&amp;"."&amp;$M$132&amp;"."&amp;$Q$132</f>
        <v>..</v>
      </c>
      <c r="AQ132" s="95" t="str">
        <f aca="false">$I$132&amp;"."&amp;$M$132&amp;"."&amp;$Q$132&amp;"."&amp;$U$132</f>
        <v>...</v>
      </c>
    </row>
    <row r="133" s="174" customFormat="true" ht="17.25" hidden="true" customHeight="true" outlineLevel="0" collapsed="false">
      <c r="A133" s="222"/>
      <c r="D133" s="223"/>
      <c r="E133" s="224"/>
      <c r="F133" s="225"/>
      <c r="G133" s="224"/>
      <c r="H133" s="226"/>
      <c r="I133" s="227"/>
      <c r="J133" s="228"/>
      <c r="K133" s="229"/>
      <c r="L133" s="229"/>
      <c r="M133" s="229"/>
      <c r="N133" s="230"/>
      <c r="O133" s="229"/>
      <c r="P133" s="229"/>
      <c r="Q133" s="229"/>
      <c r="R133" s="231"/>
      <c r="S133" s="229"/>
      <c r="T133" s="234"/>
      <c r="U133" s="234"/>
      <c r="V133" s="234"/>
      <c r="W133" s="235"/>
      <c r="X133" s="95"/>
      <c r="Y133" s="95"/>
      <c r="Z133" s="95"/>
      <c r="AA133" s="95"/>
      <c r="AB133" s="95"/>
      <c r="AC133" s="95"/>
      <c r="AD133" s="95"/>
      <c r="AE133" s="95"/>
      <c r="AF133" s="95"/>
      <c r="AG133" s="95"/>
      <c r="AH133" s="95"/>
      <c r="AI133" s="95"/>
      <c r="AJ133" s="95"/>
      <c r="AK133" s="95"/>
      <c r="AL133" s="95"/>
      <c r="AM133" s="95"/>
      <c r="AN133" s="95"/>
      <c r="AO133" s="95"/>
      <c r="AP133" s="95"/>
      <c r="AQ133" s="95"/>
    </row>
    <row r="134" s="174" customFormat="true" ht="17.25" hidden="true" customHeight="true" outlineLevel="0" collapsed="false">
      <c r="A134" s="222"/>
      <c r="D134" s="223"/>
      <c r="E134" s="224"/>
      <c r="F134" s="225"/>
      <c r="G134" s="224"/>
      <c r="H134" s="226"/>
      <c r="I134" s="227"/>
      <c r="J134" s="228"/>
      <c r="K134" s="229"/>
      <c r="L134" s="229"/>
      <c r="M134" s="229"/>
      <c r="N134" s="230"/>
      <c r="O134" s="229"/>
      <c r="P134" s="113"/>
      <c r="Q134" s="234"/>
      <c r="R134" s="234"/>
      <c r="W134" s="235"/>
      <c r="X134" s="95"/>
      <c r="Y134" s="95"/>
      <c r="Z134" s="95"/>
      <c r="AA134" s="95"/>
      <c r="AB134" s="95"/>
      <c r="AC134" s="95"/>
      <c r="AD134" s="95"/>
      <c r="AE134" s="95"/>
      <c r="AF134" s="95"/>
      <c r="AG134" s="95"/>
      <c r="AH134" s="95"/>
      <c r="AI134" s="95"/>
      <c r="AJ134" s="95"/>
      <c r="AK134" s="95"/>
      <c r="AL134" s="95"/>
      <c r="AM134" s="95"/>
      <c r="AN134" s="95"/>
      <c r="AO134" s="95"/>
      <c r="AP134" s="95"/>
      <c r="AQ134" s="95"/>
    </row>
    <row r="135" s="174" customFormat="true" ht="17.25" hidden="true" customHeight="true" outlineLevel="0" collapsed="false">
      <c r="A135" s="222"/>
      <c r="D135" s="223"/>
      <c r="E135" s="224"/>
      <c r="F135" s="225"/>
      <c r="G135" s="224"/>
      <c r="H135" s="226"/>
      <c r="I135" s="227"/>
      <c r="J135" s="228"/>
      <c r="K135" s="229"/>
      <c r="L135" s="234"/>
      <c r="M135" s="234"/>
      <c r="N135" s="234"/>
      <c r="O135" s="234"/>
      <c r="P135" s="234"/>
      <c r="Q135" s="234"/>
      <c r="R135" s="234"/>
      <c r="W135" s="235"/>
      <c r="X135" s="95"/>
      <c r="Y135" s="95"/>
      <c r="Z135" s="95"/>
      <c r="AA135" s="95"/>
      <c r="AB135" s="95"/>
      <c r="AC135" s="95"/>
      <c r="AD135" s="95"/>
      <c r="AE135" s="95"/>
      <c r="AF135" s="95"/>
      <c r="AG135" s="95"/>
      <c r="AH135" s="95"/>
      <c r="AI135" s="95"/>
      <c r="AJ135" s="95"/>
      <c r="AK135" s="95"/>
      <c r="AL135" s="95"/>
      <c r="AM135" s="95"/>
      <c r="AN135" s="95"/>
      <c r="AO135" s="95"/>
      <c r="AP135" s="95"/>
      <c r="AQ135" s="95"/>
    </row>
    <row r="136" s="174" customFormat="true" ht="17.25" hidden="true" customHeight="true" outlineLevel="0" collapsed="false">
      <c r="A136" s="222"/>
      <c r="D136" s="223"/>
      <c r="E136" s="224"/>
      <c r="F136" s="225"/>
      <c r="G136" s="224"/>
      <c r="H136" s="236"/>
      <c r="I136" s="237"/>
      <c r="J136" s="237"/>
      <c r="K136" s="237"/>
      <c r="L136" s="237"/>
      <c r="M136" s="237"/>
      <c r="N136" s="237"/>
      <c r="O136" s="237"/>
      <c r="P136" s="237"/>
      <c r="Q136" s="237"/>
      <c r="R136" s="237"/>
      <c r="S136" s="238"/>
      <c r="T136" s="238"/>
      <c r="U136" s="238"/>
      <c r="V136" s="238"/>
      <c r="W136" s="239"/>
      <c r="X136" s="95"/>
      <c r="Y136" s="95"/>
      <c r="Z136" s="95"/>
      <c r="AA136" s="95"/>
      <c r="AB136" s="95"/>
      <c r="AC136" s="95"/>
      <c r="AD136" s="95"/>
      <c r="AE136" s="95"/>
      <c r="AF136" s="95"/>
      <c r="AG136" s="95"/>
      <c r="AH136" s="95"/>
      <c r="AI136" s="95"/>
      <c r="AJ136" s="95"/>
      <c r="AK136" s="95"/>
      <c r="AL136" s="95"/>
      <c r="AM136" s="95"/>
      <c r="AN136" s="95"/>
      <c r="AO136" s="95"/>
      <c r="AP136" s="95"/>
      <c r="AQ136" s="95"/>
    </row>
  </sheetData>
  <mergeCells count="382">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64:W64"/>
    <mergeCell ref="E65:W65"/>
    <mergeCell ref="E66:W66"/>
    <mergeCell ref="E67:W67"/>
    <mergeCell ref="E68:W68"/>
    <mergeCell ref="E70:W70"/>
    <mergeCell ref="E71:W71"/>
    <mergeCell ref="E72:W72"/>
    <mergeCell ref="D74:D78"/>
    <mergeCell ref="E74:E78"/>
    <mergeCell ref="F74:F78"/>
    <mergeCell ref="G74:G78"/>
    <mergeCell ref="H74:H77"/>
    <mergeCell ref="I74:I77"/>
    <mergeCell ref="J74:J77"/>
    <mergeCell ref="K74:K77"/>
    <mergeCell ref="L74:L76"/>
    <mergeCell ref="M74:M76"/>
    <mergeCell ref="N74:N76"/>
    <mergeCell ref="O74:O76"/>
    <mergeCell ref="P74:P75"/>
    <mergeCell ref="Q74:Q75"/>
    <mergeCell ref="R74:R75"/>
    <mergeCell ref="S74:S75"/>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100:D110"/>
    <mergeCell ref="E100:E110"/>
    <mergeCell ref="F100:F110"/>
    <mergeCell ref="G100:G110"/>
    <mergeCell ref="H100:H109"/>
    <mergeCell ref="I100:I109"/>
    <mergeCell ref="J100:J109"/>
    <mergeCell ref="K100:K109"/>
    <mergeCell ref="L100:L102"/>
    <mergeCell ref="M100:M102"/>
    <mergeCell ref="N100:N102"/>
    <mergeCell ref="O100:O102"/>
    <mergeCell ref="P100:P101"/>
    <mergeCell ref="Q100:Q101"/>
    <mergeCell ref="R100:R101"/>
    <mergeCell ref="S100:S101"/>
    <mergeCell ref="W100:W101"/>
    <mergeCell ref="L103:L105"/>
    <mergeCell ref="M103:M105"/>
    <mergeCell ref="N103:N105"/>
    <mergeCell ref="O103:O105"/>
    <mergeCell ref="P103:P104"/>
    <mergeCell ref="Q103:Q104"/>
    <mergeCell ref="R103:R104"/>
    <mergeCell ref="S103:S104"/>
    <mergeCell ref="W103:W104"/>
    <mergeCell ref="L106:L108"/>
    <mergeCell ref="M106:M108"/>
    <mergeCell ref="N106:N108"/>
    <mergeCell ref="O106:O108"/>
    <mergeCell ref="P106:P107"/>
    <mergeCell ref="Q106:Q107"/>
    <mergeCell ref="R106:R107"/>
    <mergeCell ref="S106:S107"/>
    <mergeCell ref="W106:W107"/>
    <mergeCell ref="D111:D115"/>
    <mergeCell ref="E111:E115"/>
    <mergeCell ref="F111:F115"/>
    <mergeCell ref="G111:G115"/>
    <mergeCell ref="H111:H114"/>
    <mergeCell ref="I111:I114"/>
    <mergeCell ref="J111:J114"/>
    <mergeCell ref="K111:K114"/>
    <mergeCell ref="L111:L113"/>
    <mergeCell ref="M111:M113"/>
    <mergeCell ref="N111:N113"/>
    <mergeCell ref="O111:O113"/>
    <mergeCell ref="P111:P112"/>
    <mergeCell ref="Q111:Q112"/>
    <mergeCell ref="R111:R11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22:D126"/>
    <mergeCell ref="E122:E126"/>
    <mergeCell ref="F122:F126"/>
    <mergeCell ref="G122:G126"/>
    <mergeCell ref="H122:H125"/>
    <mergeCell ref="I122:I125"/>
    <mergeCell ref="J122:J125"/>
    <mergeCell ref="K122:K125"/>
    <mergeCell ref="L122:L124"/>
    <mergeCell ref="M122:M124"/>
    <mergeCell ref="N122:N124"/>
    <mergeCell ref="O122:O124"/>
    <mergeCell ref="P122:P123"/>
    <mergeCell ref="Q122:Q123"/>
    <mergeCell ref="R122:R123"/>
    <mergeCell ref="S122:S123"/>
    <mergeCell ref="D127:D131"/>
    <mergeCell ref="E127:E131"/>
    <mergeCell ref="F127:F131"/>
    <mergeCell ref="G127:G131"/>
    <mergeCell ref="H127:H130"/>
    <mergeCell ref="I127:I130"/>
    <mergeCell ref="J127:J130"/>
    <mergeCell ref="K127:K130"/>
    <mergeCell ref="L127:L129"/>
    <mergeCell ref="M127:M129"/>
    <mergeCell ref="N127:N129"/>
    <mergeCell ref="O127:O129"/>
    <mergeCell ref="P127:P128"/>
    <mergeCell ref="Q127:Q128"/>
    <mergeCell ref="R127:R128"/>
    <mergeCell ref="S127:S128"/>
    <mergeCell ref="D132:D136"/>
    <mergeCell ref="E132:E136"/>
    <mergeCell ref="F132:F136"/>
    <mergeCell ref="G132:G136"/>
    <mergeCell ref="H132:H135"/>
    <mergeCell ref="I132:I135"/>
    <mergeCell ref="J132:J135"/>
    <mergeCell ref="K132:K135"/>
    <mergeCell ref="L132:L134"/>
    <mergeCell ref="M132:M134"/>
    <mergeCell ref="N132:N134"/>
    <mergeCell ref="O132:O134"/>
    <mergeCell ref="P132:P133"/>
    <mergeCell ref="Q132:Q133"/>
    <mergeCell ref="R132:R133"/>
    <mergeCell ref="S132:S133"/>
  </mergeCells>
  <dataValidations count="2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60 K13:K14 O13:O14 S13:S14 K18:K19 O18:O19 S18:S19 K23:K24 O23:O24 S23:S24 K28:K29 O28:O29 S28:S29 K33:K34 O33:O34 S33:S34 K38:K39 O38:O39 S38:S39 K43:K44 O43:O44 S43:S44 K48:K49 O48:O49 S48:S49 K53:K54 O53:O54 S53:S54 K58:K59 O58:O59 S58:S59 F61:F62 F74:F96 K74:K75 O74:O75 S74:S75 K79:K80 O79:O80 S79:S80 K84:K85 O84:O85 S84:S85 K89:K90 O89:O90 S89:S90 K94:K95 O94:O95 S94:S95 F97:F98 F100:F118 K100 O100 S100:S101 O103 S103:S104 O106 S106:S107 K111:K112 O111:O112 S111:S112 K116:K117 O116:O117 S116:S117 F119:F120 F122:F134 K122:K123 O122:O123 S122:S123 K127:K128 O127:O128 S127:S128 K132:K133 O132:O133 S132:S133 F135:F136" type="none">
      <formula1>0</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00:N108" type="none">
      <formula1>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62 G74:G98 G100:G120 G122:G13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R107"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J107"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W10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V10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R10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J10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R104"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J104"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W103"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V103"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R103"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J103"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R101"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J101"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W100"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V100"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R100"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J100" type="textLength">
      <formula1>900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53:N55 N58:N60 N74:N76 N79:N81 N84:N86 N89:N91 N94:N96 N111:N113 N116:N118 N122:N124 N127:N129 N132:N134" type="list">
      <formula1>DESCRIPTION_TERRITORY</formula1>
      <formula2>0</formula2>
    </dataValidation>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53:J54 R53:R54 V53:W53 J58:J59 R58:R59 V58:W58 J74:J75 R74:R75 V74:W74 J79:J80 R79:R80 V79:W79 J84:J85 R84:R85 V84:W84 J89:J90 R89:R90 V89:W89 J94:J95 R94:R95 V94:W94 J111:J112 R111:R112 V111:W111 J116:J117 R116:R117 V116:W116 J122:J123 R122:R123 V122:W122 J127:J128 R127:R128 V127:W127 J132:J133 R132:R133 V132:W132"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L4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true" outlineLevel="0" max="2" min="1" style="53" width="9.14"/>
    <col collapsed="false" customWidth="true" hidden="false" outlineLevel="0" max="4" min="3" style="53" width="3.71"/>
    <col collapsed="false" customWidth="true" hidden="false" outlineLevel="0" max="6" min="5" style="53" width="16"/>
    <col collapsed="false" customWidth="true" hidden="false" outlineLevel="0" max="7" min="7" style="53" width="11.57"/>
    <col collapsed="false" customWidth="true" hidden="false" outlineLevel="0" max="9" min="8" style="53" width="3.71"/>
    <col collapsed="false" customWidth="true" hidden="false" outlineLevel="0" max="10" min="10" style="53" width="13.14"/>
    <col collapsed="false" customWidth="true" hidden="false" outlineLevel="0" max="11" min="11" style="53" width="0.28"/>
    <col collapsed="false" customWidth="true" hidden="false" outlineLevel="0" max="13" min="12" style="53" width="10.71"/>
    <col collapsed="false" customWidth="true" hidden="false" outlineLevel="0" max="15" min="14" style="53" width="3.71"/>
    <col collapsed="false" customWidth="true" hidden="false" outlineLevel="0" max="16" min="16" style="53" width="19.71"/>
    <col collapsed="false" customWidth="true" hidden="false" outlineLevel="0" max="17" min="17" style="53" width="0.28"/>
    <col collapsed="false" customWidth="true" hidden="false" outlineLevel="0" max="19" min="18" style="53" width="10.71"/>
    <col collapsed="false" customWidth="true" hidden="false" outlineLevel="0" max="21" min="20" style="53" width="3.71"/>
    <col collapsed="false" customWidth="true" hidden="false" outlineLevel="0" max="22" min="22" style="53" width="25.71"/>
    <col collapsed="false" customWidth="true" hidden="false" outlineLevel="0" max="23" min="23" style="53" width="0.28"/>
    <col collapsed="false" customWidth="true" hidden="false" outlineLevel="0" max="25" min="24" style="53" width="10.71"/>
    <col collapsed="false" customWidth="true" hidden="false" outlineLevel="0" max="27" min="26" style="53" width="3.71"/>
    <col collapsed="false" customWidth="true" hidden="false" outlineLevel="0" max="28" min="28" style="53" width="16.42"/>
    <col collapsed="false" customWidth="true" hidden="false" outlineLevel="0" max="29" min="29" style="53" width="0.28"/>
    <col collapsed="false" customWidth="true" hidden="false" outlineLevel="0" max="31" min="30" style="53" width="10.71"/>
    <col collapsed="false" customWidth="true" hidden="false" outlineLevel="0" max="33" min="32" style="53" width="3.71"/>
    <col collapsed="false" customWidth="true" hidden="false" outlineLevel="0" max="34" min="34" style="53" width="8.71"/>
    <col collapsed="false" customWidth="true" hidden="false" outlineLevel="0" max="35" min="35" style="53" width="21.71"/>
    <col collapsed="false" customWidth="false" hidden="false" outlineLevel="0" max="36" min="36" style="53" width="9.14"/>
    <col collapsed="false" customWidth="false" hidden="false" outlineLevel="0" max="37" min="37" style="54" width="9.14"/>
    <col collapsed="false" customWidth="false" hidden="false" outlineLevel="0" max="64" min="38" style="53" width="9.14"/>
  </cols>
  <sheetData>
    <row r="1" s="155" customFormat="true" ht="11.25" hidden="true" customHeight="true" outlineLevel="0" collapsed="false">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row>
    <row r="2" s="257" customFormat="true" ht="11.25" hidden="true" customHeight="true" outlineLevel="0" collapsed="false">
      <c r="L2" s="257" t="s">
        <v>295</v>
      </c>
      <c r="M2" s="257" t="s">
        <v>296</v>
      </c>
      <c r="R2" s="257" t="s">
        <v>297</v>
      </c>
      <c r="S2" s="257" t="s">
        <v>296</v>
      </c>
      <c r="X2" s="257" t="s">
        <v>295</v>
      </c>
      <c r="Y2" s="257" t="s">
        <v>296</v>
      </c>
      <c r="AD2" s="257" t="s">
        <v>295</v>
      </c>
      <c r="AE2" s="257" t="s">
        <v>296</v>
      </c>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row>
    <row r="3" s="259" customFormat="true" ht="11.25" hidden="false" customHeight="true" outlineLevel="0" collapsed="false">
      <c r="AJ3" s="53"/>
      <c r="AK3" s="54"/>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row>
    <row r="4" s="128" customFormat="true" ht="33" hidden="false" customHeight="true" outlineLevel="0" collapsed="false">
      <c r="A4" s="45"/>
      <c r="B4" s="42"/>
      <c r="C4" s="116"/>
      <c r="D4" s="260" t="s">
        <v>298</v>
      </c>
      <c r="E4" s="260"/>
      <c r="F4" s="260"/>
      <c r="G4" s="260"/>
      <c r="H4" s="260"/>
      <c r="I4" s="260"/>
      <c r="J4" s="260"/>
      <c r="K4" s="261"/>
      <c r="T4" s="262"/>
      <c r="AJ4" s="263"/>
      <c r="AK4" s="264"/>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row>
    <row r="5" s="128" customFormat="true" ht="14.25" hidden="false" customHeight="true" outlineLevel="0" collapsed="false">
      <c r="A5" s="45"/>
      <c r="B5" s="42"/>
      <c r="C5" s="116"/>
      <c r="D5" s="265" t="str">
        <f aca="false">IF(org=0,"Не определено",org)</f>
        <v>ООО "Газпром теплоэнерго Ярославль"</v>
      </c>
      <c r="E5" s="265"/>
      <c r="F5" s="265"/>
      <c r="G5" s="265"/>
      <c r="H5" s="265"/>
      <c r="I5" s="265"/>
      <c r="J5" s="265"/>
      <c r="K5" s="261"/>
      <c r="T5" s="262"/>
      <c r="AJ5" s="263"/>
      <c r="AK5" s="264"/>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row>
    <row r="6" s="128" customFormat="true" ht="14.25" hidden="false" customHeight="true" outlineLevel="0" collapsed="false">
      <c r="A6" s="45"/>
      <c r="B6" s="42"/>
      <c r="C6" s="116"/>
      <c r="D6" s="261"/>
      <c r="E6" s="261"/>
      <c r="F6" s="261"/>
      <c r="G6" s="261"/>
      <c r="H6" s="261"/>
      <c r="I6" s="261"/>
      <c r="J6" s="261"/>
      <c r="K6" s="261"/>
      <c r="T6" s="262"/>
      <c r="AJ6" s="263"/>
      <c r="AK6" s="264"/>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row>
    <row r="7" s="155" customFormat="true" ht="0.75" hidden="false" customHeight="true" outlineLevel="0" collapsed="false">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row>
    <row r="8" customFormat="false" ht="31.5" hidden="false" customHeight="true" outlineLevel="0" collapsed="false">
      <c r="D8" s="266" t="s">
        <v>84</v>
      </c>
      <c r="E8" s="266" t="s">
        <v>113</v>
      </c>
      <c r="F8" s="266" t="s">
        <v>129</v>
      </c>
      <c r="G8" s="266"/>
      <c r="H8" s="133" t="s">
        <v>84</v>
      </c>
      <c r="I8" s="133"/>
      <c r="J8" s="266" t="s">
        <v>130</v>
      </c>
      <c r="K8" s="267"/>
      <c r="L8" s="266" t="s">
        <v>299</v>
      </c>
      <c r="M8" s="266"/>
      <c r="N8" s="266"/>
      <c r="O8" s="266"/>
      <c r="P8" s="266"/>
      <c r="Q8" s="268"/>
      <c r="R8" s="269" t="s">
        <v>300</v>
      </c>
      <c r="S8" s="269"/>
      <c r="T8" s="269"/>
      <c r="U8" s="269"/>
      <c r="V8" s="269"/>
      <c r="W8" s="268"/>
      <c r="X8" s="133" t="s">
        <v>301</v>
      </c>
      <c r="Y8" s="133"/>
      <c r="Z8" s="133"/>
      <c r="AA8" s="133"/>
      <c r="AB8" s="133"/>
      <c r="AC8" s="266"/>
      <c r="AD8" s="269" t="s">
        <v>302</v>
      </c>
      <c r="AE8" s="269"/>
      <c r="AF8" s="269"/>
      <c r="AG8" s="269"/>
      <c r="AH8" s="269"/>
      <c r="AI8" s="266" t="s">
        <v>303</v>
      </c>
    </row>
    <row r="9" customFormat="false" ht="22.5" hidden="false" customHeight="true" outlineLevel="0" collapsed="false">
      <c r="D9" s="266"/>
      <c r="E9" s="266"/>
      <c r="F9" s="266" t="s">
        <v>85</v>
      </c>
      <c r="G9" s="266" t="s">
        <v>135</v>
      </c>
      <c r="H9" s="133"/>
      <c r="I9" s="133"/>
      <c r="J9" s="266"/>
      <c r="K9" s="270"/>
      <c r="L9" s="269" t="s">
        <v>304</v>
      </c>
      <c r="M9" s="269"/>
      <c r="N9" s="266" t="s">
        <v>84</v>
      </c>
      <c r="O9" s="266"/>
      <c r="P9" s="266" t="s">
        <v>136</v>
      </c>
      <c r="Q9" s="267"/>
      <c r="R9" s="269" t="s">
        <v>304</v>
      </c>
      <c r="S9" s="269"/>
      <c r="T9" s="266" t="s">
        <v>84</v>
      </c>
      <c r="U9" s="266"/>
      <c r="V9" s="266" t="s">
        <v>136</v>
      </c>
      <c r="W9" s="267"/>
      <c r="X9" s="269" t="s">
        <v>304</v>
      </c>
      <c r="Y9" s="269"/>
      <c r="Z9" s="266" t="s">
        <v>84</v>
      </c>
      <c r="AA9" s="266"/>
      <c r="AB9" s="266" t="s">
        <v>305</v>
      </c>
      <c r="AC9" s="267"/>
      <c r="AD9" s="269" t="s">
        <v>304</v>
      </c>
      <c r="AE9" s="269"/>
      <c r="AF9" s="266" t="s">
        <v>84</v>
      </c>
      <c r="AG9" s="266"/>
      <c r="AH9" s="268" t="s">
        <v>305</v>
      </c>
      <c r="AI9" s="266"/>
    </row>
    <row r="10" customFormat="false" ht="22.5" hidden="false" customHeight="true" outlineLevel="0" collapsed="false">
      <c r="D10" s="266"/>
      <c r="E10" s="266"/>
      <c r="F10" s="266"/>
      <c r="G10" s="266"/>
      <c r="H10" s="133"/>
      <c r="I10" s="133"/>
      <c r="J10" s="266"/>
      <c r="K10" s="270"/>
      <c r="L10" s="266" t="s">
        <v>306</v>
      </c>
      <c r="M10" s="268" t="s">
        <v>307</v>
      </c>
      <c r="N10" s="266"/>
      <c r="O10" s="266"/>
      <c r="P10" s="266"/>
      <c r="Q10" s="267"/>
      <c r="R10" s="266" t="s">
        <v>306</v>
      </c>
      <c r="S10" s="268" t="s">
        <v>307</v>
      </c>
      <c r="T10" s="266"/>
      <c r="U10" s="266"/>
      <c r="V10" s="266"/>
      <c r="W10" s="267"/>
      <c r="X10" s="266" t="s">
        <v>306</v>
      </c>
      <c r="Y10" s="268" t="s">
        <v>307</v>
      </c>
      <c r="Z10" s="266"/>
      <c r="AA10" s="266"/>
      <c r="AB10" s="266"/>
      <c r="AC10" s="267"/>
      <c r="AD10" s="266" t="s">
        <v>306</v>
      </c>
      <c r="AE10" s="268" t="s">
        <v>307</v>
      </c>
      <c r="AF10" s="266"/>
      <c r="AG10" s="266"/>
      <c r="AH10" s="268"/>
      <c r="AI10" s="266"/>
      <c r="AK10" s="131" t="s">
        <v>308</v>
      </c>
      <c r="AL10" s="131" t="s">
        <v>137</v>
      </c>
    </row>
    <row r="11" customFormat="false" ht="14.25" hidden="false" customHeight="true" outlineLevel="0" collapsed="false">
      <c r="D11" s="271" t="s">
        <v>117</v>
      </c>
      <c r="E11" s="272" t="s">
        <v>309</v>
      </c>
      <c r="F11" s="272" t="s">
        <v>310</v>
      </c>
      <c r="G11" s="203" t="s">
        <v>53</v>
      </c>
      <c r="H11" s="273"/>
      <c r="I11" s="274"/>
      <c r="J11" s="228"/>
      <c r="K11" s="228"/>
      <c r="L11" s="229"/>
      <c r="M11" s="229"/>
      <c r="N11" s="275"/>
      <c r="O11" s="229"/>
      <c r="P11" s="228"/>
      <c r="Q11" s="228"/>
      <c r="R11" s="229"/>
      <c r="S11" s="229"/>
      <c r="T11" s="276"/>
      <c r="U11" s="229"/>
      <c r="V11" s="228"/>
      <c r="W11" s="229"/>
      <c r="X11" s="229"/>
      <c r="Y11" s="229"/>
      <c r="Z11" s="275"/>
      <c r="AA11" s="229"/>
      <c r="AB11" s="228"/>
      <c r="AC11" s="277"/>
      <c r="AD11" s="229"/>
      <c r="AE11" s="229"/>
      <c r="AF11" s="229"/>
      <c r="AG11" s="229"/>
      <c r="AH11" s="275"/>
      <c r="AI11" s="232"/>
    </row>
    <row r="12" customFormat="false" ht="14.25" hidden="false" customHeight="true" outlineLevel="0" collapsed="false">
      <c r="D12" s="271"/>
      <c r="E12" s="272"/>
      <c r="F12" s="272"/>
      <c r="G12" s="203"/>
      <c r="H12" s="278"/>
      <c r="I12" s="274"/>
      <c r="J12" s="228"/>
      <c r="K12" s="75"/>
      <c r="L12" s="229"/>
      <c r="M12" s="229"/>
      <c r="N12" s="50"/>
      <c r="O12" s="229"/>
      <c r="P12" s="228"/>
      <c r="Q12" s="279"/>
      <c r="R12" s="229"/>
      <c r="S12" s="229"/>
      <c r="T12" s="280"/>
      <c r="U12" s="229"/>
      <c r="V12" s="228"/>
      <c r="W12" s="113"/>
      <c r="X12" s="229"/>
      <c r="Y12" s="229"/>
      <c r="Z12" s="50"/>
      <c r="AA12" s="229"/>
      <c r="AB12" s="228"/>
      <c r="AC12" s="75"/>
      <c r="AD12" s="229"/>
      <c r="AE12" s="229"/>
      <c r="AF12" s="234"/>
      <c r="AG12" s="234"/>
      <c r="AH12" s="235"/>
      <c r="AI12" s="235"/>
    </row>
    <row r="13" customFormat="false" ht="14.25" hidden="false" customHeight="true" outlineLevel="0" collapsed="false">
      <c r="D13" s="271"/>
      <c r="E13" s="272"/>
      <c r="F13" s="272"/>
      <c r="G13" s="203"/>
      <c r="H13" s="278"/>
      <c r="I13" s="274"/>
      <c r="J13" s="228"/>
      <c r="K13" s="75"/>
      <c r="L13" s="229"/>
      <c r="M13" s="229"/>
      <c r="N13" s="50"/>
      <c r="O13" s="229"/>
      <c r="P13" s="228"/>
      <c r="Q13" s="279"/>
      <c r="R13" s="229"/>
      <c r="S13" s="229"/>
      <c r="T13" s="280"/>
      <c r="U13" s="229"/>
      <c r="V13" s="228"/>
      <c r="W13" s="113"/>
      <c r="X13" s="229"/>
      <c r="Y13" s="229"/>
      <c r="Z13" s="113"/>
      <c r="AA13" s="234"/>
      <c r="AB13" s="235"/>
      <c r="AC13" s="235"/>
      <c r="AD13" s="235"/>
      <c r="AE13" s="235"/>
      <c r="AF13" s="235"/>
      <c r="AG13" s="235"/>
      <c r="AH13" s="235"/>
      <c r="AI13" s="235"/>
    </row>
    <row r="14" customFormat="false" ht="14.25" hidden="false" customHeight="true" outlineLevel="0" collapsed="false">
      <c r="D14" s="271"/>
      <c r="E14" s="272"/>
      <c r="F14" s="272"/>
      <c r="G14" s="203"/>
      <c r="H14" s="278"/>
      <c r="I14" s="274"/>
      <c r="J14" s="228"/>
      <c r="K14" s="75"/>
      <c r="L14" s="229"/>
      <c r="M14" s="229"/>
      <c r="N14" s="50"/>
      <c r="O14" s="229"/>
      <c r="P14" s="228"/>
      <c r="Q14" s="279"/>
      <c r="R14" s="229"/>
      <c r="S14" s="229"/>
      <c r="T14" s="281"/>
      <c r="U14" s="282"/>
      <c r="V14" s="235"/>
      <c r="W14" s="235"/>
      <c r="X14" s="235"/>
      <c r="Y14" s="235"/>
      <c r="Z14" s="235"/>
      <c r="AA14" s="235"/>
      <c r="AB14" s="235"/>
      <c r="AC14" s="235"/>
      <c r="AD14" s="235"/>
      <c r="AE14" s="235"/>
      <c r="AF14" s="235"/>
      <c r="AG14" s="235"/>
      <c r="AH14" s="235"/>
      <c r="AI14" s="235"/>
    </row>
    <row r="15" customFormat="false" ht="11.25" hidden="false" customHeight="true" outlineLevel="0" collapsed="false">
      <c r="D15" s="271"/>
      <c r="E15" s="272"/>
      <c r="F15" s="272"/>
      <c r="G15" s="203"/>
      <c r="H15" s="283"/>
      <c r="I15" s="274"/>
      <c r="J15" s="228"/>
      <c r="K15" s="75"/>
      <c r="L15" s="229"/>
      <c r="M15" s="229"/>
      <c r="N15" s="234"/>
      <c r="O15" s="234"/>
      <c r="P15" s="235"/>
      <c r="Q15" s="235"/>
      <c r="R15" s="235"/>
      <c r="S15" s="235"/>
      <c r="T15" s="235"/>
      <c r="U15" s="235"/>
      <c r="V15" s="235"/>
      <c r="W15" s="235"/>
      <c r="X15" s="235"/>
      <c r="Y15" s="235"/>
      <c r="Z15" s="235"/>
      <c r="AA15" s="235"/>
      <c r="AB15" s="235"/>
      <c r="AC15" s="235"/>
      <c r="AD15" s="235"/>
      <c r="AE15" s="235"/>
      <c r="AF15" s="235"/>
      <c r="AG15" s="235"/>
      <c r="AH15" s="235"/>
      <c r="AI15" s="235"/>
    </row>
    <row r="16" s="259" customFormat="true" ht="11.25" hidden="false" customHeight="true" outlineLevel="0" collapsed="false">
      <c r="D16" s="271"/>
      <c r="E16" s="272"/>
      <c r="F16" s="272"/>
      <c r="G16" s="203"/>
      <c r="H16" s="284"/>
      <c r="I16" s="285"/>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53"/>
      <c r="AK16" s="54"/>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row>
    <row r="17" customFormat="false" ht="14.25" hidden="false" customHeight="true" outlineLevel="0" collapsed="false">
      <c r="D17" s="271" t="s">
        <v>99</v>
      </c>
      <c r="E17" s="272" t="s">
        <v>309</v>
      </c>
      <c r="F17" s="272" t="s">
        <v>311</v>
      </c>
      <c r="G17" s="203" t="s">
        <v>53</v>
      </c>
      <c r="H17" s="273"/>
      <c r="I17" s="274"/>
      <c r="J17" s="228"/>
      <c r="K17" s="228"/>
      <c r="L17" s="229"/>
      <c r="M17" s="229"/>
      <c r="N17" s="275"/>
      <c r="O17" s="229"/>
      <c r="P17" s="228"/>
      <c r="Q17" s="228"/>
      <c r="R17" s="229"/>
      <c r="S17" s="229"/>
      <c r="T17" s="276"/>
      <c r="U17" s="229"/>
      <c r="V17" s="228"/>
      <c r="W17" s="229"/>
      <c r="X17" s="229"/>
      <c r="Y17" s="229"/>
      <c r="Z17" s="275"/>
      <c r="AA17" s="229"/>
      <c r="AB17" s="228"/>
      <c r="AC17" s="277"/>
      <c r="AD17" s="229"/>
      <c r="AE17" s="229"/>
      <c r="AF17" s="229"/>
      <c r="AG17" s="229"/>
      <c r="AH17" s="275"/>
      <c r="AI17" s="232"/>
    </row>
    <row r="18" customFormat="false" ht="14.25" hidden="false" customHeight="true" outlineLevel="0" collapsed="false">
      <c r="D18" s="271"/>
      <c r="E18" s="272"/>
      <c r="F18" s="272"/>
      <c r="G18" s="203"/>
      <c r="H18" s="278"/>
      <c r="I18" s="274"/>
      <c r="J18" s="228"/>
      <c r="K18" s="75"/>
      <c r="L18" s="229"/>
      <c r="M18" s="229"/>
      <c r="N18" s="50"/>
      <c r="O18" s="229"/>
      <c r="P18" s="228"/>
      <c r="Q18" s="279"/>
      <c r="R18" s="229"/>
      <c r="S18" s="229"/>
      <c r="T18" s="280"/>
      <c r="U18" s="229"/>
      <c r="V18" s="228"/>
      <c r="W18" s="113"/>
      <c r="X18" s="229"/>
      <c r="Y18" s="229"/>
      <c r="Z18" s="50"/>
      <c r="AA18" s="229"/>
      <c r="AB18" s="228"/>
      <c r="AC18" s="75"/>
      <c r="AD18" s="229"/>
      <c r="AE18" s="229"/>
      <c r="AF18" s="234"/>
      <c r="AG18" s="234"/>
      <c r="AH18" s="235"/>
      <c r="AI18" s="235"/>
    </row>
    <row r="19" customFormat="false" ht="14.25" hidden="false" customHeight="true" outlineLevel="0" collapsed="false">
      <c r="D19" s="271"/>
      <c r="E19" s="272"/>
      <c r="F19" s="272"/>
      <c r="G19" s="203"/>
      <c r="H19" s="278"/>
      <c r="I19" s="274"/>
      <c r="J19" s="228"/>
      <c r="K19" s="75"/>
      <c r="L19" s="229"/>
      <c r="M19" s="229"/>
      <c r="N19" s="50"/>
      <c r="O19" s="229"/>
      <c r="P19" s="228"/>
      <c r="Q19" s="279"/>
      <c r="R19" s="229"/>
      <c r="S19" s="229"/>
      <c r="T19" s="280"/>
      <c r="U19" s="229"/>
      <c r="V19" s="228"/>
      <c r="W19" s="113"/>
      <c r="X19" s="229"/>
      <c r="Y19" s="229"/>
      <c r="Z19" s="113"/>
      <c r="AA19" s="234"/>
      <c r="AB19" s="235"/>
      <c r="AC19" s="235"/>
      <c r="AD19" s="235"/>
      <c r="AE19" s="235"/>
      <c r="AF19" s="235"/>
      <c r="AG19" s="235"/>
      <c r="AH19" s="235"/>
      <c r="AI19" s="235"/>
    </row>
    <row r="20" customFormat="false" ht="14.25" hidden="false" customHeight="true" outlineLevel="0" collapsed="false">
      <c r="D20" s="271"/>
      <c r="E20" s="272"/>
      <c r="F20" s="272"/>
      <c r="G20" s="203"/>
      <c r="H20" s="278"/>
      <c r="I20" s="274"/>
      <c r="J20" s="228"/>
      <c r="K20" s="75"/>
      <c r="L20" s="229"/>
      <c r="M20" s="229"/>
      <c r="N20" s="50"/>
      <c r="O20" s="229"/>
      <c r="P20" s="228"/>
      <c r="Q20" s="279"/>
      <c r="R20" s="229"/>
      <c r="S20" s="229"/>
      <c r="T20" s="281"/>
      <c r="U20" s="282"/>
      <c r="V20" s="235"/>
      <c r="W20" s="235"/>
      <c r="X20" s="235"/>
      <c r="Y20" s="235"/>
      <c r="Z20" s="235"/>
      <c r="AA20" s="235"/>
      <c r="AB20" s="235"/>
      <c r="AC20" s="235"/>
      <c r="AD20" s="235"/>
      <c r="AE20" s="235"/>
      <c r="AF20" s="235"/>
      <c r="AG20" s="235"/>
      <c r="AH20" s="235"/>
      <c r="AI20" s="235"/>
    </row>
    <row r="21" customFormat="false" ht="11.25" hidden="false" customHeight="true" outlineLevel="0" collapsed="false">
      <c r="D21" s="271"/>
      <c r="E21" s="272"/>
      <c r="F21" s="272"/>
      <c r="G21" s="203"/>
      <c r="H21" s="283"/>
      <c r="I21" s="274"/>
      <c r="J21" s="228"/>
      <c r="K21" s="75"/>
      <c r="L21" s="229"/>
      <c r="M21" s="229"/>
      <c r="N21" s="234"/>
      <c r="O21" s="234"/>
      <c r="P21" s="235"/>
      <c r="Q21" s="235"/>
      <c r="R21" s="235"/>
      <c r="S21" s="235"/>
      <c r="T21" s="235"/>
      <c r="U21" s="235"/>
      <c r="V21" s="235"/>
      <c r="W21" s="235"/>
      <c r="X21" s="235"/>
      <c r="Y21" s="235"/>
      <c r="Z21" s="235"/>
      <c r="AA21" s="235"/>
      <c r="AB21" s="235"/>
      <c r="AC21" s="235"/>
      <c r="AD21" s="235"/>
      <c r="AE21" s="235"/>
      <c r="AF21" s="235"/>
      <c r="AG21" s="235"/>
      <c r="AH21" s="235"/>
      <c r="AI21" s="235"/>
    </row>
    <row r="22" s="259" customFormat="true" ht="11.25" hidden="false" customHeight="true" outlineLevel="0" collapsed="false">
      <c r="D22" s="271"/>
      <c r="E22" s="272"/>
      <c r="F22" s="272"/>
      <c r="G22" s="203"/>
      <c r="H22" s="284"/>
      <c r="I22" s="285"/>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53"/>
      <c r="AK22" s="54"/>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row>
    <row r="23" customFormat="false" ht="14.25" hidden="false" customHeight="true" outlineLevel="0" collapsed="false">
      <c r="D23" s="271" t="s">
        <v>86</v>
      </c>
      <c r="E23" s="272" t="s">
        <v>309</v>
      </c>
      <c r="F23" s="272" t="s">
        <v>312</v>
      </c>
      <c r="G23" s="203" t="s">
        <v>53</v>
      </c>
      <c r="H23" s="273"/>
      <c r="I23" s="274"/>
      <c r="J23" s="228"/>
      <c r="K23" s="228"/>
      <c r="L23" s="229"/>
      <c r="M23" s="229"/>
      <c r="N23" s="275"/>
      <c r="O23" s="229"/>
      <c r="P23" s="228"/>
      <c r="Q23" s="228"/>
      <c r="R23" s="229"/>
      <c r="S23" s="229"/>
      <c r="T23" s="276"/>
      <c r="U23" s="229"/>
      <c r="V23" s="228"/>
      <c r="W23" s="229"/>
      <c r="X23" s="229"/>
      <c r="Y23" s="229"/>
      <c r="Z23" s="275"/>
      <c r="AA23" s="229"/>
      <c r="AB23" s="228"/>
      <c r="AC23" s="277"/>
      <c r="AD23" s="229"/>
      <c r="AE23" s="229"/>
      <c r="AF23" s="229"/>
      <c r="AG23" s="229"/>
      <c r="AH23" s="275"/>
      <c r="AI23" s="232"/>
      <c r="AK23" s="54" t="s">
        <v>94</v>
      </c>
    </row>
    <row r="24" customFormat="false" ht="14.25" hidden="false" customHeight="true" outlineLevel="0" collapsed="false">
      <c r="D24" s="271"/>
      <c r="E24" s="272"/>
      <c r="F24" s="272"/>
      <c r="G24" s="203"/>
      <c r="H24" s="278"/>
      <c r="I24" s="274"/>
      <c r="J24" s="228"/>
      <c r="K24" s="75"/>
      <c r="L24" s="229"/>
      <c r="M24" s="229"/>
      <c r="N24" s="50"/>
      <c r="O24" s="229"/>
      <c r="P24" s="228"/>
      <c r="Q24" s="279"/>
      <c r="R24" s="229"/>
      <c r="S24" s="229"/>
      <c r="T24" s="280"/>
      <c r="U24" s="229"/>
      <c r="V24" s="228"/>
      <c r="W24" s="113"/>
      <c r="X24" s="229"/>
      <c r="Y24" s="229"/>
      <c r="Z24" s="50"/>
      <c r="AA24" s="229"/>
      <c r="AB24" s="228"/>
      <c r="AC24" s="75"/>
      <c r="AD24" s="229"/>
      <c r="AE24" s="229"/>
      <c r="AF24" s="234"/>
      <c r="AG24" s="234"/>
      <c r="AH24" s="235"/>
      <c r="AI24" s="235"/>
    </row>
    <row r="25" customFormat="false" ht="14.25" hidden="false" customHeight="true" outlineLevel="0" collapsed="false">
      <c r="D25" s="271"/>
      <c r="E25" s="272"/>
      <c r="F25" s="272"/>
      <c r="G25" s="203"/>
      <c r="H25" s="278"/>
      <c r="I25" s="274"/>
      <c r="J25" s="228"/>
      <c r="K25" s="75"/>
      <c r="L25" s="229"/>
      <c r="M25" s="229"/>
      <c r="N25" s="50"/>
      <c r="O25" s="229"/>
      <c r="P25" s="228"/>
      <c r="Q25" s="279"/>
      <c r="R25" s="229"/>
      <c r="S25" s="229"/>
      <c r="T25" s="280"/>
      <c r="U25" s="229"/>
      <c r="V25" s="228"/>
      <c r="W25" s="113"/>
      <c r="X25" s="229"/>
      <c r="Y25" s="229"/>
      <c r="Z25" s="113"/>
      <c r="AA25" s="234"/>
      <c r="AB25" s="235"/>
      <c r="AC25" s="235"/>
      <c r="AD25" s="235"/>
      <c r="AE25" s="235"/>
      <c r="AF25" s="235"/>
      <c r="AG25" s="235"/>
      <c r="AH25" s="235"/>
      <c r="AI25" s="235"/>
    </row>
    <row r="26" customFormat="false" ht="14.25" hidden="false" customHeight="true" outlineLevel="0" collapsed="false">
      <c r="D26" s="271"/>
      <c r="E26" s="272"/>
      <c r="F26" s="272"/>
      <c r="G26" s="203"/>
      <c r="H26" s="278"/>
      <c r="I26" s="274"/>
      <c r="J26" s="228"/>
      <c r="K26" s="75"/>
      <c r="L26" s="229"/>
      <c r="M26" s="229"/>
      <c r="N26" s="50"/>
      <c r="O26" s="229"/>
      <c r="P26" s="228"/>
      <c r="Q26" s="279"/>
      <c r="R26" s="229"/>
      <c r="S26" s="229"/>
      <c r="T26" s="281"/>
      <c r="U26" s="282"/>
      <c r="V26" s="235"/>
      <c r="W26" s="235"/>
      <c r="X26" s="235"/>
      <c r="Y26" s="235"/>
      <c r="Z26" s="235"/>
      <c r="AA26" s="235"/>
      <c r="AB26" s="235"/>
      <c r="AC26" s="235"/>
      <c r="AD26" s="235"/>
      <c r="AE26" s="235"/>
      <c r="AF26" s="235"/>
      <c r="AG26" s="235"/>
      <c r="AH26" s="235"/>
      <c r="AI26" s="235"/>
    </row>
    <row r="27" customFormat="false" ht="11.25" hidden="false" customHeight="true" outlineLevel="0" collapsed="false">
      <c r="D27" s="271"/>
      <c r="E27" s="272"/>
      <c r="F27" s="272"/>
      <c r="G27" s="203"/>
      <c r="H27" s="283"/>
      <c r="I27" s="274"/>
      <c r="J27" s="228"/>
      <c r="K27" s="75"/>
      <c r="L27" s="229"/>
      <c r="M27" s="229"/>
      <c r="N27" s="234"/>
      <c r="O27" s="234"/>
      <c r="P27" s="235"/>
      <c r="Q27" s="235"/>
      <c r="R27" s="235"/>
      <c r="S27" s="235"/>
      <c r="T27" s="235"/>
      <c r="U27" s="235"/>
      <c r="V27" s="235"/>
      <c r="W27" s="235"/>
      <c r="X27" s="235"/>
      <c r="Y27" s="235"/>
      <c r="Z27" s="235"/>
      <c r="AA27" s="235"/>
      <c r="AB27" s="235"/>
      <c r="AC27" s="235"/>
      <c r="AD27" s="235"/>
      <c r="AE27" s="235"/>
      <c r="AF27" s="235"/>
      <c r="AG27" s="235"/>
      <c r="AH27" s="235"/>
      <c r="AI27" s="235"/>
    </row>
    <row r="28" s="259" customFormat="true" ht="11.25" hidden="false" customHeight="true" outlineLevel="0" collapsed="false">
      <c r="D28" s="271"/>
      <c r="E28" s="272"/>
      <c r="F28" s="272"/>
      <c r="G28" s="203"/>
      <c r="H28" s="284"/>
      <c r="I28" s="285"/>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53"/>
      <c r="AK28" s="54"/>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row>
    <row r="29" customFormat="false" ht="14.25" hidden="false" customHeight="true" outlineLevel="0" collapsed="false">
      <c r="D29" s="271" t="s">
        <v>87</v>
      </c>
      <c r="E29" s="272" t="s">
        <v>309</v>
      </c>
      <c r="F29" s="272" t="s">
        <v>313</v>
      </c>
      <c r="G29" s="203" t="s">
        <v>53</v>
      </c>
      <c r="H29" s="273"/>
      <c r="I29" s="274"/>
      <c r="J29" s="228"/>
      <c r="K29" s="228"/>
      <c r="L29" s="229"/>
      <c r="M29" s="229"/>
      <c r="N29" s="275"/>
      <c r="O29" s="229"/>
      <c r="P29" s="228"/>
      <c r="Q29" s="228"/>
      <c r="R29" s="229"/>
      <c r="S29" s="229"/>
      <c r="T29" s="276"/>
      <c r="U29" s="229"/>
      <c r="V29" s="228"/>
      <c r="W29" s="229"/>
      <c r="X29" s="229"/>
      <c r="Y29" s="229"/>
      <c r="Z29" s="275"/>
      <c r="AA29" s="229"/>
      <c r="AB29" s="228"/>
      <c r="AC29" s="277"/>
      <c r="AD29" s="229"/>
      <c r="AE29" s="229"/>
      <c r="AF29" s="229"/>
      <c r="AG29" s="229"/>
      <c r="AH29" s="275"/>
      <c r="AI29" s="232"/>
    </row>
    <row r="30" customFormat="false" ht="14.25" hidden="false" customHeight="true" outlineLevel="0" collapsed="false">
      <c r="D30" s="271"/>
      <c r="E30" s="272"/>
      <c r="F30" s="272"/>
      <c r="G30" s="203"/>
      <c r="H30" s="278"/>
      <c r="I30" s="274"/>
      <c r="J30" s="228"/>
      <c r="K30" s="75"/>
      <c r="L30" s="229"/>
      <c r="M30" s="229"/>
      <c r="N30" s="50"/>
      <c r="O30" s="229"/>
      <c r="P30" s="228"/>
      <c r="Q30" s="279"/>
      <c r="R30" s="229"/>
      <c r="S30" s="229"/>
      <c r="T30" s="280"/>
      <c r="U30" s="229"/>
      <c r="V30" s="228"/>
      <c r="W30" s="113"/>
      <c r="X30" s="229"/>
      <c r="Y30" s="229"/>
      <c r="Z30" s="50"/>
      <c r="AA30" s="229"/>
      <c r="AB30" s="228"/>
      <c r="AC30" s="75"/>
      <c r="AD30" s="229"/>
      <c r="AE30" s="229"/>
      <c r="AF30" s="234"/>
      <c r="AG30" s="234"/>
      <c r="AH30" s="235"/>
      <c r="AI30" s="235"/>
    </row>
    <row r="31" customFormat="false" ht="14.25" hidden="false" customHeight="true" outlineLevel="0" collapsed="false">
      <c r="D31" s="271"/>
      <c r="E31" s="272"/>
      <c r="F31" s="272"/>
      <c r="G31" s="203"/>
      <c r="H31" s="278"/>
      <c r="I31" s="274"/>
      <c r="J31" s="228"/>
      <c r="K31" s="75"/>
      <c r="L31" s="229"/>
      <c r="M31" s="229"/>
      <c r="N31" s="50"/>
      <c r="O31" s="229"/>
      <c r="P31" s="228"/>
      <c r="Q31" s="279"/>
      <c r="R31" s="229"/>
      <c r="S31" s="229"/>
      <c r="T31" s="280"/>
      <c r="U31" s="229"/>
      <c r="V31" s="228"/>
      <c r="W31" s="113"/>
      <c r="X31" s="229"/>
      <c r="Y31" s="229"/>
      <c r="Z31" s="113"/>
      <c r="AA31" s="234"/>
      <c r="AB31" s="235"/>
      <c r="AC31" s="235"/>
      <c r="AD31" s="235"/>
      <c r="AE31" s="235"/>
      <c r="AF31" s="235"/>
      <c r="AG31" s="235"/>
      <c r="AH31" s="235"/>
      <c r="AI31" s="235"/>
    </row>
    <row r="32" customFormat="false" ht="14.25" hidden="false" customHeight="true" outlineLevel="0" collapsed="false">
      <c r="D32" s="271"/>
      <c r="E32" s="272"/>
      <c r="F32" s="272"/>
      <c r="G32" s="203"/>
      <c r="H32" s="278"/>
      <c r="I32" s="274"/>
      <c r="J32" s="228"/>
      <c r="K32" s="75"/>
      <c r="L32" s="229"/>
      <c r="M32" s="229"/>
      <c r="N32" s="50"/>
      <c r="O32" s="229"/>
      <c r="P32" s="228"/>
      <c r="Q32" s="279"/>
      <c r="R32" s="229"/>
      <c r="S32" s="229"/>
      <c r="T32" s="281"/>
      <c r="U32" s="282"/>
      <c r="V32" s="235"/>
      <c r="W32" s="235"/>
      <c r="X32" s="235"/>
      <c r="Y32" s="235"/>
      <c r="Z32" s="235"/>
      <c r="AA32" s="235"/>
      <c r="AB32" s="235"/>
      <c r="AC32" s="235"/>
      <c r="AD32" s="235"/>
      <c r="AE32" s="235"/>
      <c r="AF32" s="235"/>
      <c r="AG32" s="235"/>
      <c r="AH32" s="235"/>
      <c r="AI32" s="235"/>
    </row>
    <row r="33" customFormat="false" ht="11.25" hidden="false" customHeight="true" outlineLevel="0" collapsed="false">
      <c r="D33" s="271"/>
      <c r="E33" s="272"/>
      <c r="F33" s="272"/>
      <c r="G33" s="203"/>
      <c r="H33" s="283"/>
      <c r="I33" s="274"/>
      <c r="J33" s="228"/>
      <c r="K33" s="75"/>
      <c r="L33" s="229"/>
      <c r="M33" s="229"/>
      <c r="N33" s="234"/>
      <c r="O33" s="234"/>
      <c r="P33" s="235"/>
      <c r="Q33" s="235"/>
      <c r="R33" s="235"/>
      <c r="S33" s="235"/>
      <c r="T33" s="235"/>
      <c r="U33" s="235"/>
      <c r="V33" s="235"/>
      <c r="W33" s="235"/>
      <c r="X33" s="235"/>
      <c r="Y33" s="235"/>
      <c r="Z33" s="235"/>
      <c r="AA33" s="235"/>
      <c r="AB33" s="235"/>
      <c r="AC33" s="235"/>
      <c r="AD33" s="235"/>
      <c r="AE33" s="235"/>
      <c r="AF33" s="235"/>
      <c r="AG33" s="235"/>
      <c r="AH33" s="235"/>
      <c r="AI33" s="235"/>
    </row>
    <row r="34" s="259" customFormat="true" ht="11.25" hidden="false" customHeight="true" outlineLevel="0" collapsed="false">
      <c r="D34" s="271"/>
      <c r="E34" s="272"/>
      <c r="F34" s="272"/>
      <c r="G34" s="203"/>
      <c r="H34" s="284"/>
      <c r="I34" s="285"/>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53"/>
      <c r="AK34" s="54"/>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row>
    <row r="35" customFormat="false" ht="14.25" hidden="false" customHeight="true" outlineLevel="0" collapsed="false">
      <c r="D35" s="286" t="s">
        <v>118</v>
      </c>
      <c r="E35" s="287" t="s">
        <v>309</v>
      </c>
      <c r="F35" s="287" t="s">
        <v>314</v>
      </c>
      <c r="G35" s="203" t="s">
        <v>53</v>
      </c>
      <c r="H35" s="273"/>
      <c r="I35" s="274"/>
      <c r="J35" s="228"/>
      <c r="K35" s="228"/>
      <c r="L35" s="229"/>
      <c r="M35" s="229"/>
      <c r="N35" s="275"/>
      <c r="O35" s="229"/>
      <c r="P35" s="228"/>
      <c r="Q35" s="228"/>
      <c r="R35" s="229"/>
      <c r="S35" s="229"/>
      <c r="T35" s="276"/>
      <c r="U35" s="229"/>
      <c r="V35" s="228"/>
      <c r="W35" s="229"/>
      <c r="X35" s="229"/>
      <c r="Y35" s="229"/>
      <c r="Z35" s="275"/>
      <c r="AA35" s="229"/>
      <c r="AB35" s="228"/>
      <c r="AC35" s="277"/>
      <c r="AD35" s="229"/>
      <c r="AE35" s="229"/>
      <c r="AF35" s="229"/>
      <c r="AG35" s="229"/>
      <c r="AH35" s="275"/>
      <c r="AI35" s="232"/>
    </row>
    <row r="36" customFormat="false" ht="14.25" hidden="false" customHeight="true" outlineLevel="0" collapsed="false">
      <c r="D36" s="286"/>
      <c r="E36" s="287"/>
      <c r="F36" s="287"/>
      <c r="G36" s="203"/>
      <c r="H36" s="278"/>
      <c r="I36" s="274"/>
      <c r="J36" s="228"/>
      <c r="K36" s="75"/>
      <c r="L36" s="229"/>
      <c r="M36" s="229"/>
      <c r="N36" s="50"/>
      <c r="O36" s="229"/>
      <c r="P36" s="228"/>
      <c r="Q36" s="279"/>
      <c r="R36" s="229"/>
      <c r="S36" s="229"/>
      <c r="T36" s="280"/>
      <c r="U36" s="229"/>
      <c r="V36" s="228"/>
      <c r="W36" s="113"/>
      <c r="X36" s="229"/>
      <c r="Y36" s="229"/>
      <c r="Z36" s="50"/>
      <c r="AA36" s="229"/>
      <c r="AB36" s="228"/>
      <c r="AC36" s="75"/>
      <c r="AD36" s="229"/>
      <c r="AE36" s="229"/>
      <c r="AF36" s="234"/>
      <c r="AG36" s="234"/>
      <c r="AH36" s="235"/>
      <c r="AI36" s="235"/>
    </row>
    <row r="37" customFormat="false" ht="14.25" hidden="false" customHeight="true" outlineLevel="0" collapsed="false">
      <c r="D37" s="286"/>
      <c r="E37" s="287"/>
      <c r="F37" s="287"/>
      <c r="G37" s="203"/>
      <c r="H37" s="278"/>
      <c r="I37" s="274"/>
      <c r="J37" s="228"/>
      <c r="K37" s="75"/>
      <c r="L37" s="229"/>
      <c r="M37" s="229"/>
      <c r="N37" s="50"/>
      <c r="O37" s="229"/>
      <c r="P37" s="228"/>
      <c r="Q37" s="279"/>
      <c r="R37" s="229"/>
      <c r="S37" s="229"/>
      <c r="T37" s="280"/>
      <c r="U37" s="229"/>
      <c r="V37" s="228"/>
      <c r="W37" s="113"/>
      <c r="X37" s="229"/>
      <c r="Y37" s="229"/>
      <c r="Z37" s="113"/>
      <c r="AA37" s="234"/>
      <c r="AB37" s="235"/>
      <c r="AC37" s="235"/>
      <c r="AD37" s="235"/>
      <c r="AE37" s="235"/>
      <c r="AF37" s="235"/>
      <c r="AG37" s="235"/>
      <c r="AH37" s="235"/>
      <c r="AI37" s="235"/>
    </row>
    <row r="38" customFormat="false" ht="14.25" hidden="false" customHeight="true" outlineLevel="0" collapsed="false">
      <c r="D38" s="286"/>
      <c r="E38" s="287"/>
      <c r="F38" s="287"/>
      <c r="G38" s="203"/>
      <c r="H38" s="278"/>
      <c r="I38" s="274"/>
      <c r="J38" s="228"/>
      <c r="K38" s="75"/>
      <c r="L38" s="229"/>
      <c r="M38" s="229"/>
      <c r="N38" s="50"/>
      <c r="O38" s="229"/>
      <c r="P38" s="228"/>
      <c r="Q38" s="279"/>
      <c r="R38" s="229"/>
      <c r="S38" s="229"/>
      <c r="T38" s="281"/>
      <c r="U38" s="282"/>
      <c r="V38" s="235"/>
      <c r="W38" s="235"/>
      <c r="X38" s="235"/>
      <c r="Y38" s="235"/>
      <c r="Z38" s="235"/>
      <c r="AA38" s="235"/>
      <c r="AB38" s="235"/>
      <c r="AC38" s="235"/>
      <c r="AD38" s="235"/>
      <c r="AE38" s="235"/>
      <c r="AF38" s="235"/>
      <c r="AG38" s="235"/>
      <c r="AH38" s="235"/>
      <c r="AI38" s="235"/>
    </row>
    <row r="39" customFormat="false" ht="11.25" hidden="false" customHeight="true" outlineLevel="0" collapsed="false">
      <c r="D39" s="286"/>
      <c r="E39" s="287"/>
      <c r="F39" s="287"/>
      <c r="G39" s="203"/>
      <c r="H39" s="283"/>
      <c r="I39" s="274"/>
      <c r="J39" s="228"/>
      <c r="K39" s="75"/>
      <c r="L39" s="229"/>
      <c r="M39" s="229"/>
      <c r="N39" s="234"/>
      <c r="O39" s="234"/>
      <c r="P39" s="235"/>
      <c r="Q39" s="235"/>
      <c r="R39" s="235"/>
      <c r="S39" s="235"/>
      <c r="T39" s="235"/>
      <c r="U39" s="235"/>
      <c r="V39" s="235"/>
      <c r="W39" s="235"/>
      <c r="X39" s="235"/>
      <c r="Y39" s="235"/>
      <c r="Z39" s="235"/>
      <c r="AA39" s="235"/>
      <c r="AB39" s="235"/>
      <c r="AC39" s="235"/>
      <c r="AD39" s="235"/>
      <c r="AE39" s="235"/>
      <c r="AF39" s="235"/>
      <c r="AG39" s="235"/>
      <c r="AH39" s="235"/>
      <c r="AI39" s="235"/>
    </row>
    <row r="40" s="259" customFormat="true" ht="11.25" hidden="false" customHeight="true" outlineLevel="0" collapsed="false">
      <c r="D40" s="286"/>
      <c r="E40" s="287"/>
      <c r="F40" s="287"/>
      <c r="G40" s="203"/>
      <c r="H40" s="284"/>
      <c r="I40" s="285"/>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53"/>
      <c r="AK40" s="54"/>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row>
    <row r="41" customFormat="false" ht="11.25" hidden="false" customHeight="true" outlineLevel="0" collapsed="false">
      <c r="AK41" s="53"/>
    </row>
    <row r="42" customFormat="false" ht="11.25" hidden="false" customHeight="true" outlineLevel="0" collapsed="false">
      <c r="AK42" s="53"/>
    </row>
    <row r="43" customFormat="false" ht="11.25" hidden="false" customHeight="true" outlineLevel="0" collapsed="false">
      <c r="AK43" s="53"/>
    </row>
    <row r="44" customFormat="false" ht="11.25" hidden="false" customHeight="true" outlineLevel="0" collapsed="false">
      <c r="AK44" s="53"/>
    </row>
    <row r="45" customFormat="false" ht="11.25" hidden="false" customHeight="true" outlineLevel="0" collapsed="false">
      <c r="AK45" s="53"/>
    </row>
    <row r="46" customFormat="false" ht="11.25" hidden="false" customHeight="true" outlineLevel="0" collapsed="false">
      <c r="AK46" s="53"/>
    </row>
    <row r="47" customFormat="false" ht="11.25" hidden="false" customHeight="true" outlineLevel="0" collapsed="false">
      <c r="AK47" s="53"/>
    </row>
    <row r="48" customFormat="false" ht="11.25" hidden="false" customHeight="true" outlineLevel="0" collapsed="false">
      <c r="AK48" s="53"/>
    </row>
    <row r="49" customFormat="false" ht="11.25" hidden="false" customHeight="true" outlineLevel="0" collapsed="false">
      <c r="AK49" s="53"/>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I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true" outlineLevel="0" max="1" min="1" style="288" width="15"/>
    <col collapsed="false" customWidth="true" hidden="true" outlineLevel="0" max="2" min="2" style="289" width="15"/>
    <col collapsed="false" customWidth="true" hidden="false" outlineLevel="0" max="3" min="3" style="290" width="3.71"/>
    <col collapsed="false" customWidth="true" hidden="false" outlineLevel="0" max="4" min="4" style="291" width="6.85"/>
    <col collapsed="false" customWidth="true" hidden="false" outlineLevel="0" max="5" min="5" style="290" width="52.28"/>
    <col collapsed="false" customWidth="true" hidden="false" outlineLevel="0" max="6" min="6" style="290" width="48.85"/>
    <col collapsed="false" customWidth="true" hidden="false" outlineLevel="0" max="7" min="7" style="290" width="121.71"/>
    <col collapsed="false" customWidth="false" hidden="false" outlineLevel="0" max="8" min="8" style="290" width="9.14"/>
    <col collapsed="false" customWidth="true" hidden="false" outlineLevel="0" max="9" min="9" style="290" width="65"/>
  </cols>
  <sheetData>
    <row r="1" customFormat="false" ht="11.25" hidden="true" customHeight="true" outlineLevel="0" collapsed="false">
      <c r="A1" s="288" t="s">
        <v>315</v>
      </c>
    </row>
    <row r="2" customFormat="false" ht="11.25" hidden="true" customHeight="true" outlineLevel="0" collapsed="false"/>
    <row r="3" s="292" customFormat="true" ht="11.25" hidden="false" customHeight="true" outlineLevel="0" collapsed="false">
      <c r="A3" s="288"/>
      <c r="B3" s="289"/>
      <c r="D3" s="293"/>
    </row>
    <row r="4" customFormat="false" ht="25.5" hidden="false" customHeight="true" outlineLevel="0" collapsed="false">
      <c r="D4" s="212" t="str">
        <f aca="false">ORG_INFO_NAME_FORM</f>
        <v>Форма 1. Информация об организации, осуществляющей горячее водоснабжение (общая информация)</v>
      </c>
      <c r="E4" s="212"/>
      <c r="F4" s="212"/>
      <c r="I4" s="294"/>
    </row>
    <row r="5" customFormat="false" ht="17.25" hidden="false" customHeight="true" outlineLevel="0" collapsed="false">
      <c r="D5" s="265" t="str">
        <f aca="false">IF(org=0,"Не определено",org)</f>
        <v>ООО "Газпром теплоэнерго Ярославль"</v>
      </c>
      <c r="E5" s="265"/>
      <c r="F5" s="265"/>
      <c r="I5" s="294"/>
    </row>
    <row r="6" s="292" customFormat="true" ht="11.25" hidden="false" customHeight="true" outlineLevel="0" collapsed="false">
      <c r="A6" s="288"/>
      <c r="B6" s="289"/>
      <c r="D6" s="295"/>
      <c r="E6" s="295"/>
      <c r="F6" s="296"/>
      <c r="G6" s="295"/>
    </row>
    <row r="7" customFormat="false" ht="11.25" hidden="true" customHeight="true" outlineLevel="0" collapsed="false">
      <c r="A7" s="79"/>
      <c r="B7" s="297"/>
      <c r="C7" s="79"/>
      <c r="D7" s="72"/>
      <c r="E7" s="298"/>
      <c r="F7" s="298"/>
    </row>
    <row r="8" customFormat="false" ht="11.25" hidden="false" customHeight="true" outlineLevel="0" collapsed="false">
      <c r="A8" s="79"/>
      <c r="B8" s="297"/>
      <c r="C8" s="79"/>
      <c r="D8" s="299" t="s">
        <v>316</v>
      </c>
      <c r="E8" s="299"/>
      <c r="F8" s="299"/>
      <c r="G8" s="300" t="s">
        <v>317</v>
      </c>
    </row>
    <row r="9" customFormat="false" ht="11.25" hidden="false" customHeight="true" outlineLevel="0" collapsed="false">
      <c r="A9" s="79"/>
      <c r="B9" s="297"/>
      <c r="C9" s="79"/>
      <c r="D9" s="301" t="s">
        <v>84</v>
      </c>
      <c r="E9" s="300" t="s">
        <v>318</v>
      </c>
      <c r="F9" s="300" t="s">
        <v>319</v>
      </c>
      <c r="G9" s="300"/>
    </row>
    <row r="10" customFormat="false" ht="12" hidden="true" customHeight="true" outlineLevel="0" collapsed="false">
      <c r="A10" s="79"/>
      <c r="B10" s="297"/>
      <c r="C10" s="79"/>
      <c r="D10" s="302"/>
      <c r="E10" s="302"/>
      <c r="F10" s="302"/>
      <c r="G10" s="302"/>
    </row>
    <row r="11" customFormat="false" ht="22.5" hidden="true" customHeight="true" outlineLevel="0" collapsed="false">
      <c r="A11" s="79"/>
      <c r="B11" s="297"/>
      <c r="C11" s="79"/>
      <c r="D11" s="303" t="s">
        <v>117</v>
      </c>
      <c r="E11" s="304" t="s">
        <v>320</v>
      </c>
      <c r="F11" s="305" t="str">
        <f aca="false">IF(region_name="","",region_name)</f>
        <v>Ярославская область</v>
      </c>
      <c r="G11" s="304" t="s">
        <v>321</v>
      </c>
      <c r="H11" s="306"/>
    </row>
    <row r="12" customFormat="false" ht="22.5" hidden="true" customHeight="true" outlineLevel="0" collapsed="false">
      <c r="A12" s="79"/>
      <c r="B12" s="297"/>
      <c r="C12" s="79"/>
      <c r="D12" s="307" t="s">
        <v>117</v>
      </c>
      <c r="E12" s="308"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184" t="s">
        <v>322</v>
      </c>
      <c r="G12" s="309"/>
      <c r="H12" s="306"/>
    </row>
    <row r="13" customFormat="false" ht="22.5" hidden="false" customHeight="true" outlineLevel="0" collapsed="false">
      <c r="A13" s="79"/>
      <c r="B13" s="297"/>
      <c r="C13" s="79"/>
      <c r="D13" s="307" t="s">
        <v>117</v>
      </c>
      <c r="E13" s="310" t="str">
        <f aca="false">"Наименование юридического лица"&amp;IF(TEMPLATE_SPHERE="TKO"," (индивидуального предпринимателя)","")</f>
        <v>Наименование юридического лица</v>
      </c>
      <c r="F13" s="311"/>
      <c r="G13" s="308"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06"/>
    </row>
    <row r="14" customFormat="false" ht="22.5" hidden="true" customHeight="true" outlineLevel="0" collapsed="false">
      <c r="A14" s="79"/>
      <c r="B14" s="297"/>
      <c r="C14" s="79"/>
      <c r="D14" s="303" t="s">
        <v>323</v>
      </c>
      <c r="E14" s="312" t="s">
        <v>324</v>
      </c>
      <c r="F14" s="305" t="str">
        <f aca="false">IF(inn="","",inn)</f>
        <v>7603060690</v>
      </c>
      <c r="G14" s="304" t="s">
        <v>325</v>
      </c>
      <c r="H14" s="306"/>
    </row>
    <row r="15" customFormat="false" ht="22.5" hidden="true" customHeight="true" outlineLevel="0" collapsed="false">
      <c r="A15" s="79"/>
      <c r="B15" s="297"/>
      <c r="C15" s="79"/>
      <c r="D15" s="303" t="s">
        <v>326</v>
      </c>
      <c r="E15" s="312" t="s">
        <v>327</v>
      </c>
      <c r="F15" s="305" t="str">
        <f aca="false">IF(kpp="","",kpp)</f>
        <v>760301001</v>
      </c>
      <c r="G15" s="304" t="s">
        <v>328</v>
      </c>
      <c r="H15" s="306"/>
    </row>
    <row r="16" customFormat="false" ht="36.75" hidden="false" customHeight="true" outlineLevel="0" collapsed="false">
      <c r="A16" s="79"/>
      <c r="B16" s="297"/>
      <c r="C16" s="79"/>
      <c r="D16" s="307" t="s">
        <v>99</v>
      </c>
      <c r="E16" s="310"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11"/>
      <c r="G16" s="308"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6"/>
    </row>
    <row r="17" customFormat="false" ht="22.5" hidden="false" customHeight="true" outlineLevel="0" collapsed="false">
      <c r="A17" s="79"/>
      <c r="B17" s="297"/>
      <c r="C17" s="79"/>
      <c r="D17" s="307" t="s">
        <v>86</v>
      </c>
      <c r="E17" s="310" t="str">
        <f aca="false">"Дата присвоения ОГРН"&amp;IF(TEMPLATE_SPHERE="TKO",""," (ОГРНИП)")</f>
        <v>Дата присвоения ОГРН (ОГРНИП)</v>
      </c>
      <c r="F17" s="77"/>
      <c r="G17" s="308" t="str">
        <f aca="false">"Дата присвоения ОГРН"&amp;IF(TEMPLATE_SPHERE="TKO",""," (ОГРНИП)")&amp;" указывается в виде «ДД.ММ.ГГГГ»."</f>
        <v>Дата присвоения ОГРН (ОГРНИП) указывается в виде «ДД.ММ.ГГГГ».</v>
      </c>
      <c r="H17" s="306"/>
    </row>
    <row r="18" customFormat="false" ht="56.25" hidden="false" customHeight="true" outlineLevel="0" collapsed="false">
      <c r="A18" s="79"/>
      <c r="B18" s="297"/>
      <c r="C18" s="79"/>
      <c r="D18" s="307" t="s">
        <v>87</v>
      </c>
      <c r="E18" s="310"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11"/>
      <c r="G18" s="309"/>
      <c r="H18" s="306"/>
    </row>
    <row r="19" customFormat="false" ht="22.5" hidden="true" customHeight="true" outlineLevel="0" collapsed="false">
      <c r="A19" s="313" t="s">
        <v>329</v>
      </c>
      <c r="B19" s="297"/>
      <c r="C19" s="314"/>
      <c r="D19" s="307" t="str">
        <f aca="false">A19</f>
        <v>5.1</v>
      </c>
      <c r="E19" s="310" t="s">
        <v>330</v>
      </c>
      <c r="F19" s="184" t="s">
        <v>322</v>
      </c>
      <c r="G19" s="308" t="s">
        <v>331</v>
      </c>
      <c r="H19" s="306"/>
      <c r="I19" s="315"/>
    </row>
    <row r="20" customFormat="false" ht="24" hidden="true" customHeight="true" outlineLevel="0" collapsed="false">
      <c r="A20" s="313"/>
      <c r="B20" s="297"/>
      <c r="C20" s="314"/>
      <c r="D20" s="316" t="str">
        <f aca="false">D19&amp;".1"</f>
        <v>5.1.1</v>
      </c>
      <c r="E20" s="317" t="s">
        <v>332</v>
      </c>
      <c r="F20" s="318"/>
      <c r="G20" s="309"/>
      <c r="H20" s="306"/>
      <c r="I20" s="315"/>
    </row>
    <row r="21" customFormat="false" ht="22.5" hidden="true" customHeight="true" outlineLevel="0" collapsed="false">
      <c r="A21" s="313"/>
      <c r="B21" s="297"/>
      <c r="C21" s="314"/>
      <c r="D21" s="316" t="str">
        <f aca="false">D19&amp;".2"</f>
        <v>5.1.2</v>
      </c>
      <c r="E21" s="317" t="s">
        <v>333</v>
      </c>
      <c r="F21" s="84"/>
      <c r="G21" s="308" t="s">
        <v>334</v>
      </c>
      <c r="H21" s="306"/>
      <c r="I21" s="315"/>
    </row>
    <row r="22" customFormat="false" ht="22.5" hidden="true" customHeight="true" outlineLevel="0" collapsed="false">
      <c r="A22" s="313"/>
      <c r="B22" s="297"/>
      <c r="C22" s="314"/>
      <c r="D22" s="316" t="str">
        <f aca="false">D19&amp;".3"</f>
        <v>5.1.3</v>
      </c>
      <c r="E22" s="317" t="s">
        <v>335</v>
      </c>
      <c r="F22" s="318"/>
      <c r="G22" s="309"/>
      <c r="H22" s="306"/>
      <c r="I22" s="315"/>
    </row>
    <row r="23" customFormat="false" ht="22.5" hidden="true" customHeight="true" outlineLevel="0" collapsed="false">
      <c r="A23" s="313"/>
      <c r="B23" s="297"/>
      <c r="C23" s="314"/>
      <c r="D23" s="316" t="str">
        <f aca="false">D19&amp;".4"</f>
        <v>5.1.4</v>
      </c>
      <c r="E23" s="317" t="s">
        <v>336</v>
      </c>
      <c r="F23" s="318"/>
      <c r="G23" s="308" t="s">
        <v>337</v>
      </c>
      <c r="H23" s="306"/>
      <c r="I23" s="315"/>
    </row>
    <row r="24" customFormat="false" ht="22.5" hidden="true" customHeight="true" outlineLevel="0" collapsed="false">
      <c r="A24" s="319"/>
      <c r="B24" s="297"/>
      <c r="C24" s="320"/>
      <c r="D24" s="321"/>
      <c r="E24" s="160" t="s">
        <v>338</v>
      </c>
      <c r="F24" s="322"/>
      <c r="G24" s="323"/>
      <c r="H24" s="306"/>
      <c r="I24" s="315"/>
    </row>
    <row r="25" s="289" customFormat="true" ht="24.75" hidden="true" customHeight="true" outlineLevel="0" collapsed="false">
      <c r="A25" s="79"/>
      <c r="B25" s="297"/>
      <c r="C25" s="297"/>
      <c r="D25" s="324" t="s">
        <v>86</v>
      </c>
      <c r="E25" s="325" t="s">
        <v>339</v>
      </c>
      <c r="F25" s="146" t="s">
        <v>322</v>
      </c>
      <c r="G25" s="325"/>
    </row>
    <row r="26" s="289" customFormat="true" ht="11.25" hidden="true" customHeight="true" outlineLevel="0" collapsed="false">
      <c r="A26" s="79"/>
      <c r="B26" s="297"/>
      <c r="C26" s="297"/>
      <c r="D26" s="324" t="s">
        <v>340</v>
      </c>
      <c r="E26" s="326" t="s">
        <v>341</v>
      </c>
      <c r="F26" s="146" t="s">
        <v>322</v>
      </c>
      <c r="G26" s="325"/>
    </row>
    <row r="27" s="289" customFormat="true" ht="11.25" hidden="true" customHeight="true" outlineLevel="0" collapsed="false">
      <c r="A27" s="79"/>
      <c r="B27" s="297"/>
      <c r="C27" s="297"/>
      <c r="D27" s="324" t="s">
        <v>342</v>
      </c>
      <c r="E27" s="327" t="s">
        <v>343</v>
      </c>
      <c r="F27" s="328"/>
      <c r="G27" s="325"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289" customFormat="true" ht="11.25" hidden="true" customHeight="true" outlineLevel="0" collapsed="false">
      <c r="A28" s="79"/>
      <c r="B28" s="297"/>
      <c r="C28" s="297"/>
      <c r="D28" s="324" t="s">
        <v>344</v>
      </c>
      <c r="E28" s="327" t="s">
        <v>345</v>
      </c>
      <c r="F28" s="328"/>
      <c r="G28" s="325"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9" s="289" customFormat="true" ht="11.25" hidden="true" customHeight="true" outlineLevel="0" collapsed="false">
      <c r="A29" s="79"/>
      <c r="B29" s="297"/>
      <c r="C29" s="297"/>
      <c r="D29" s="324" t="s">
        <v>346</v>
      </c>
      <c r="E29" s="327" t="s">
        <v>347</v>
      </c>
      <c r="F29" s="328"/>
      <c r="G29" s="325"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30" s="289" customFormat="true" ht="11.25" hidden="true" customHeight="true" outlineLevel="0" collapsed="false">
      <c r="A30" s="79"/>
      <c r="B30" s="297"/>
      <c r="C30" s="297"/>
      <c r="D30" s="324" t="s">
        <v>348</v>
      </c>
      <c r="E30" s="326" t="s">
        <v>349</v>
      </c>
      <c r="F30" s="328"/>
      <c r="G30" s="325"/>
    </row>
    <row r="31" s="289" customFormat="true" ht="11.25" hidden="true" customHeight="true" outlineLevel="0" collapsed="false">
      <c r="A31" s="79"/>
      <c r="B31" s="297"/>
      <c r="C31" s="297"/>
      <c r="D31" s="324" t="s">
        <v>350</v>
      </c>
      <c r="E31" s="326" t="s">
        <v>351</v>
      </c>
      <c r="F31" s="328"/>
      <c r="G31" s="325"/>
    </row>
    <row r="32" s="289" customFormat="true" ht="11.25" hidden="true" customHeight="true" outlineLevel="0" collapsed="false">
      <c r="A32" s="79"/>
      <c r="B32" s="297"/>
      <c r="C32" s="297"/>
      <c r="D32" s="324" t="s">
        <v>352</v>
      </c>
      <c r="E32" s="326" t="s">
        <v>353</v>
      </c>
      <c r="F32" s="328"/>
      <c r="G32" s="325"/>
    </row>
    <row r="33" customFormat="false" ht="22.5" hidden="false" customHeight="true" outlineLevel="0" collapsed="false">
      <c r="A33" s="79" t="str">
        <f aca="false">IF(TEMPLATE_SPHERE="HEAT","6","5")</f>
        <v>5</v>
      </c>
      <c r="B33" s="297"/>
      <c r="C33" s="79"/>
      <c r="D33" s="316" t="str">
        <f aca="false">A33</f>
        <v>5</v>
      </c>
      <c r="E33" s="329"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184" t="s">
        <v>322</v>
      </c>
      <c r="G33" s="309"/>
      <c r="H33" s="306"/>
    </row>
    <row r="34" customFormat="false" ht="22.5" hidden="false" customHeight="true" outlineLevel="0" collapsed="false">
      <c r="A34" s="79"/>
      <c r="B34" s="297"/>
      <c r="C34" s="79"/>
      <c r="D34" s="316" t="str">
        <f aca="false">D33&amp;".1"</f>
        <v>5.1</v>
      </c>
      <c r="E34" s="310" t="str">
        <f aca="false">"фамилия"&amp;IF(TEMPLATE_SPHERE&lt;&gt;"HEAT"," руководителя","")</f>
        <v>фамилия руководителя</v>
      </c>
      <c r="F34" s="311"/>
      <c r="G34" s="308"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06"/>
    </row>
    <row r="35" customFormat="false" ht="22.5" hidden="false" customHeight="true" outlineLevel="0" collapsed="false">
      <c r="A35" s="79"/>
      <c r="B35" s="297"/>
      <c r="C35" s="79"/>
      <c r="D35" s="316" t="str">
        <f aca="false">D33&amp;".2"</f>
        <v>5.2</v>
      </c>
      <c r="E35" s="310" t="str">
        <f aca="false">"имя"&amp;IF(TEMPLATE_SPHERE&lt;&gt;"HEAT"," руководителя","")</f>
        <v>имя руководителя</v>
      </c>
      <c r="F35" s="311"/>
      <c r="G35" s="308"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06"/>
    </row>
    <row r="36" customFormat="false" ht="22.5" hidden="false" customHeight="true" outlineLevel="0" collapsed="false">
      <c r="A36" s="79"/>
      <c r="B36" s="297"/>
      <c r="C36" s="79"/>
      <c r="D36" s="316" t="str">
        <f aca="false">D33&amp;".3"</f>
        <v>5.3</v>
      </c>
      <c r="E36" s="310" t="str">
        <f aca="false">"отчество"&amp;IF(TEMPLATE_SPHERE&lt;&gt;"HEAT"," руководителя","")</f>
        <v>отчество руководителя</v>
      </c>
      <c r="F36" s="330"/>
      <c r="G36" s="308"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06"/>
    </row>
    <row r="37" customFormat="false" ht="33.75" hidden="false" customHeight="true" outlineLevel="0" collapsed="false">
      <c r="A37" s="79"/>
      <c r="B37" s="297"/>
      <c r="C37" s="79"/>
      <c r="D37" s="316" t="n">
        <f aca="false">D33+1</f>
        <v>6</v>
      </c>
      <c r="E37" s="329"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11"/>
      <c r="G37" s="308" t="s">
        <v>354</v>
      </c>
      <c r="H37" s="306"/>
    </row>
    <row r="38" customFormat="false" ht="33.75" hidden="false" customHeight="true" outlineLevel="0" collapsed="false">
      <c r="A38" s="79"/>
      <c r="B38" s="297"/>
      <c r="C38" s="79"/>
      <c r="D38" s="316" t="n">
        <f aca="false">D37+1</f>
        <v>7</v>
      </c>
      <c r="E38" s="329"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11"/>
      <c r="G38" s="308" t="s">
        <v>354</v>
      </c>
      <c r="H38" s="306"/>
    </row>
    <row r="39" customFormat="false" ht="22.5" hidden="false" customHeight="true" outlineLevel="0" collapsed="false">
      <c r="A39" s="79"/>
      <c r="B39" s="297"/>
      <c r="C39" s="79"/>
      <c r="D39" s="316" t="n">
        <f aca="false">D38+1</f>
        <v>8</v>
      </c>
      <c r="E39" s="331"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184" t="s">
        <v>322</v>
      </c>
      <c r="G39" s="332"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06"/>
    </row>
    <row r="40" customFormat="false" ht="22.5" hidden="true" customHeight="true" outlineLevel="0" collapsed="false">
      <c r="A40" s="79"/>
      <c r="B40" s="297"/>
      <c r="C40" s="79"/>
      <c r="D40" s="316" t="str">
        <f aca="false">D39&amp;".0"</f>
        <v>8.0</v>
      </c>
      <c r="E40" s="205"/>
      <c r="F40" s="318"/>
      <c r="G40" s="332"/>
      <c r="H40" s="306"/>
    </row>
    <row r="41" customFormat="false" ht="22.5" hidden="false" customHeight="true" outlineLevel="0" collapsed="false">
      <c r="A41" s="79"/>
      <c r="B41" s="79"/>
      <c r="C41" s="333"/>
      <c r="D41" s="316" t="str">
        <f aca="false">D39&amp;".1"</f>
        <v>8.1</v>
      </c>
      <c r="E41" s="334"/>
      <c r="F41" s="335"/>
      <c r="G41" s="332"/>
      <c r="H41" s="306"/>
    </row>
    <row r="42" customFormat="false" ht="15" hidden="false" customHeight="true" outlineLevel="0" collapsed="false">
      <c r="A42" s="79"/>
      <c r="B42" s="297"/>
      <c r="C42" s="79"/>
      <c r="D42" s="321"/>
      <c r="E42" s="160" t="s">
        <v>355</v>
      </c>
      <c r="F42" s="323"/>
      <c r="G42" s="332"/>
      <c r="H42" s="336"/>
    </row>
    <row r="43" customFormat="false" ht="25.5" hidden="false" customHeight="true" outlineLevel="0" collapsed="false">
      <c r="A43" s="79"/>
      <c r="B43" s="297"/>
      <c r="C43" s="79"/>
      <c r="D43" s="316" t="n">
        <f aca="false">D39+1</f>
        <v>9</v>
      </c>
      <c r="E43" s="329"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337"/>
      <c r="G43" s="308"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06"/>
    </row>
    <row r="44" customFormat="false" ht="22.5" hidden="false" customHeight="true" outlineLevel="0" collapsed="false">
      <c r="A44" s="79"/>
      <c r="B44" s="297"/>
      <c r="C44" s="79"/>
      <c r="D44" s="316" t="n">
        <f aca="false">D43+1</f>
        <v>10</v>
      </c>
      <c r="E44" s="329"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45"/>
      <c r="G44" s="309" t="s">
        <v>356</v>
      </c>
      <c r="H44" s="306"/>
    </row>
    <row r="45" customFormat="false" ht="22.5" hidden="false" customHeight="true" outlineLevel="0" collapsed="false">
      <c r="A45" s="79"/>
      <c r="B45" s="297"/>
      <c r="C45" s="79"/>
      <c r="D45" s="316" t="n">
        <f aca="false">D44+1</f>
        <v>11</v>
      </c>
      <c r="E45" s="329" t="s">
        <v>357</v>
      </c>
      <c r="F45" s="184" t="s">
        <v>322</v>
      </c>
      <c r="G45" s="331" t="str">
        <f aca="false">IF(TEMPLATE_SPHERE="TKO","Указывается режим работы организации.","")</f>
        <v/>
      </c>
      <c r="H45" s="306"/>
    </row>
    <row r="46" customFormat="false" ht="22.5" hidden="false" customHeight="true" outlineLevel="0" collapsed="false">
      <c r="A46" s="79"/>
      <c r="B46" s="297"/>
      <c r="C46" s="79"/>
      <c r="D46" s="316" t="str">
        <f aca="false">D45&amp;".1"</f>
        <v>11.1</v>
      </c>
      <c r="E46" s="310" t="str">
        <f aca="false">"режим работы регулируемой организации"&amp;IF(TEMPLATE_SPHERE="HEAT",", ЕТО, ТО","")</f>
        <v>режим работы регулируемой организации</v>
      </c>
      <c r="F46" s="338"/>
      <c r="G46" s="331" t="s">
        <v>358</v>
      </c>
      <c r="H46" s="306"/>
    </row>
    <row r="47" customFormat="false" ht="22.5" hidden="false" customHeight="true" outlineLevel="0" collapsed="false">
      <c r="A47" s="313"/>
      <c r="B47" s="297"/>
      <c r="C47" s="320"/>
      <c r="D47" s="316" t="str">
        <f aca="false">D45&amp;".2"</f>
        <v>11.2</v>
      </c>
      <c r="E47" s="310" t="s">
        <v>359</v>
      </c>
      <c r="F47" s="338"/>
      <c r="G47" s="331" t="s">
        <v>360</v>
      </c>
      <c r="H47" s="306"/>
    </row>
    <row r="48" customFormat="false" ht="22.5" hidden="false" customHeight="true" outlineLevel="0" collapsed="false">
      <c r="A48" s="313"/>
      <c r="B48" s="297"/>
      <c r="C48" s="320"/>
      <c r="D48" s="316" t="str">
        <f aca="false">D45&amp;".3"</f>
        <v>11.3</v>
      </c>
      <c r="E48" s="310" t="s">
        <v>361</v>
      </c>
      <c r="F48" s="338"/>
      <c r="G48" s="331" t="s">
        <v>362</v>
      </c>
      <c r="H48" s="306"/>
    </row>
    <row r="49" customFormat="false" ht="22.5" hidden="false" customHeight="true" outlineLevel="0" collapsed="false">
      <c r="A49" s="313"/>
      <c r="B49" s="297"/>
      <c r="C49" s="320"/>
      <c r="D49" s="316" t="str">
        <f aca="false">IF(TEMPLATE_SPHERE="TKO",D45&amp;".0",D45&amp;".4")</f>
        <v>11.4</v>
      </c>
      <c r="E49" s="339" t="s">
        <v>363</v>
      </c>
      <c r="F49" s="340"/>
      <c r="G49" s="341" t="s">
        <v>364</v>
      </c>
      <c r="H49" s="306"/>
    </row>
    <row r="50" customFormat="false" ht="22.5" hidden="false" customHeight="true" outlineLevel="0" collapsed="false">
      <c r="A50" s="79"/>
      <c r="B50" s="297"/>
      <c r="C50" s="79"/>
      <c r="D50" s="321"/>
      <c r="E50" s="160" t="s">
        <v>365</v>
      </c>
      <c r="F50" s="322"/>
      <c r="G50" s="341" t="s">
        <v>366</v>
      </c>
      <c r="H50" s="336"/>
    </row>
    <row r="51" customFormat="false" ht="22.5" hidden="false" customHeight="true" outlineLevel="0" collapsed="false">
      <c r="A51" s="313"/>
      <c r="B51" s="297"/>
      <c r="C51" s="320"/>
      <c r="D51" s="316" t="n">
        <f aca="false">D45+1</f>
        <v>12</v>
      </c>
      <c r="E51" s="342" t="s">
        <v>367</v>
      </c>
      <c r="F51" s="338"/>
      <c r="G51" s="343"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06"/>
    </row>
    <row r="52" customFormat="false" ht="11.25" hidden="false" customHeight="true" outlineLevel="0" collapsed="false">
      <c r="A52" s="79"/>
      <c r="B52" s="297"/>
      <c r="C52" s="79"/>
    </row>
    <row r="53" s="347" customFormat="true" ht="30" hidden="false" customHeight="true" outlineLevel="0" collapsed="false">
      <c r="A53" s="344"/>
      <c r="B53" s="47"/>
      <c r="C53" s="345"/>
      <c r="D53" s="346"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346"/>
      <c r="F53" s="346"/>
      <c r="G53" s="346"/>
      <c r="H53" s="170"/>
      <c r="I53" s="170"/>
    </row>
    <row r="54" s="347" customFormat="true" ht="39.75" hidden="false" customHeight="true" outlineLevel="0" collapsed="false">
      <c r="A54" s="79"/>
      <c r="B54" s="297"/>
      <c r="C54" s="345"/>
      <c r="D54" s="346" t="str">
        <f aca="false">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346"/>
      <c r="F54" s="346"/>
      <c r="G54" s="346"/>
    </row>
    <row r="56" customFormat="false" ht="27" hidden="false" customHeight="true" outlineLevel="0" collapsed="false">
      <c r="D56" s="348"/>
      <c r="E56" s="291"/>
      <c r="F56" s="349"/>
      <c r="G56" s="349"/>
    </row>
    <row r="57" customFormat="false" ht="11.25" hidden="false" customHeight="true" outlineLevel="0" collapsed="false">
      <c r="E57" s="291"/>
    </row>
    <row r="58" customFormat="false" ht="39" hidden="false" customHeight="true" outlineLevel="0" collapsed="false">
      <c r="D58" s="350"/>
      <c r="E58" s="351"/>
      <c r="F58" s="351"/>
      <c r="G58" s="351"/>
    </row>
    <row r="59" customFormat="false" ht="27" hidden="false" customHeight="true" outlineLevel="0" collapsed="false">
      <c r="D59" s="350"/>
      <c r="E59" s="351"/>
      <c r="F59" s="351"/>
      <c r="G59" s="351"/>
    </row>
  </sheetData>
  <mergeCells count="12">
    <mergeCell ref="D4:F4"/>
    <mergeCell ref="D5:F5"/>
    <mergeCell ref="E7:F7"/>
    <mergeCell ref="D8:F8"/>
    <mergeCell ref="G8:G9"/>
    <mergeCell ref="A19:A23"/>
    <mergeCell ref="C19:C23"/>
    <mergeCell ref="G39:G42"/>
    <mergeCell ref="A47:A49"/>
    <mergeCell ref="C53:C54"/>
    <mergeCell ref="D53:G53"/>
    <mergeCell ref="D54:G5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F13 F16 F18 F20 F22:F23 F27:F32 F34:F38 E40:F41 F43:F44"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6:F49 F51"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S1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45" width="9.14"/>
    <col collapsed="false" customWidth="true" hidden="true" outlineLevel="0" max="2" min="2" style="42" width="9.14"/>
    <col collapsed="false" customWidth="true" hidden="false" outlineLevel="0" max="3" min="3" style="116" width="3.71"/>
    <col collapsed="false" customWidth="true" hidden="false" outlineLevel="0" max="4" min="4" style="42" width="5.57"/>
    <col collapsed="false" customWidth="true" hidden="false" outlineLevel="0" max="5" min="5" style="42" width="48.42"/>
    <col collapsed="false" customWidth="true" hidden="false" outlineLevel="0" max="6" min="6" style="42" width="38.14"/>
    <col collapsed="false" customWidth="true" hidden="true" outlineLevel="0" max="7" min="7" style="42" width="1.71"/>
    <col collapsed="false" customWidth="true" hidden="true" outlineLevel="0" max="11" min="8" style="42" width="19.85"/>
    <col collapsed="false" customWidth="true" hidden="true" outlineLevel="0" max="12" min="12" style="42" width="9.71"/>
    <col collapsed="false" customWidth="true" hidden="true" outlineLevel="0" max="18" min="13" style="42" width="19.85"/>
    <col collapsed="false" customWidth="true" hidden="true" outlineLevel="0" max="19" min="19" style="42" width="1.71"/>
    <col collapsed="false" customWidth="true" hidden="true" outlineLevel="0" max="22" min="20" style="42" width="19.85"/>
    <col collapsed="false" customWidth="true" hidden="true" outlineLevel="0" max="23" min="23" style="42" width="1.71"/>
    <col collapsed="false" customWidth="true" hidden="true" outlineLevel="0" max="26" min="24" style="42" width="19.85"/>
    <col collapsed="false" customWidth="true" hidden="true" outlineLevel="0" max="27" min="27" style="42" width="1.71"/>
    <col collapsed="false" customWidth="true" hidden="false" outlineLevel="0" max="29" min="28" style="42" width="19.85"/>
    <col collapsed="false" customWidth="true" hidden="true" outlineLevel="0" max="30" min="30" style="42" width="1.71"/>
    <col collapsed="false" customWidth="true" hidden="true" outlineLevel="0" max="33" min="31" style="42" width="103.71"/>
    <col collapsed="false" customWidth="true" hidden="false" outlineLevel="0" max="34" min="34" style="42" width="103.71"/>
    <col collapsed="false" customWidth="true" hidden="false" outlineLevel="0" max="35" min="35" style="128" width="3.71"/>
    <col collapsed="false" customWidth="false" hidden="false" outlineLevel="0" max="38" min="36" style="47" width="10.57"/>
    <col collapsed="false" customWidth="true" hidden="true" outlineLevel="0" max="39" min="39" style="47" width="13.71"/>
    <col collapsed="false" customWidth="true" hidden="false" outlineLevel="0" max="40" min="40" style="47" width="15.42"/>
    <col collapsed="false" customWidth="true" hidden="false" outlineLevel="0" max="41" min="41" style="47" width="16.28"/>
    <col collapsed="false" customWidth="false" hidden="false" outlineLevel="0" max="45" min="42" style="47" width="10.57"/>
  </cols>
  <sheetData>
    <row r="1" customFormat="false" ht="14.25" hidden="true" customHeight="true" outlineLevel="0" collapsed="false">
      <c r="E1" s="156"/>
      <c r="F1" s="156"/>
      <c r="G1" s="156"/>
      <c r="H1" s="44" t="s">
        <v>368</v>
      </c>
      <c r="I1" s="44"/>
      <c r="J1" s="44"/>
      <c r="K1" s="44"/>
      <c r="L1" s="44"/>
      <c r="M1" s="44"/>
      <c r="N1" s="44"/>
      <c r="O1" s="44"/>
      <c r="P1" s="44"/>
      <c r="Q1" s="44"/>
      <c r="R1" s="44"/>
      <c r="T1" s="44" t="s">
        <v>369</v>
      </c>
      <c r="U1" s="44"/>
      <c r="V1" s="44"/>
      <c r="X1" s="44" t="s">
        <v>370</v>
      </c>
      <c r="Y1" s="44"/>
      <c r="Z1" s="44"/>
      <c r="AB1" s="44" t="s">
        <v>371</v>
      </c>
      <c r="AC1" s="44"/>
    </row>
    <row r="2" customFormat="false" ht="14.25" hidden="true" customHeight="true" outlineLevel="0" collapsed="false"/>
    <row r="3" s="60" customFormat="true" ht="6" hidden="false" customHeight="true" outlineLevel="0" collapsed="false">
      <c r="C3" s="70"/>
      <c r="D3" s="352"/>
      <c r="E3" s="352"/>
      <c r="F3" s="352"/>
      <c r="G3" s="352"/>
      <c r="H3" s="352" t="s">
        <v>372</v>
      </c>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J3" s="47"/>
      <c r="AK3" s="47"/>
      <c r="AL3" s="47"/>
      <c r="AM3" s="47"/>
      <c r="AN3" s="47"/>
      <c r="AO3" s="47"/>
      <c r="AP3" s="47"/>
      <c r="AQ3" s="47"/>
      <c r="AR3" s="47"/>
      <c r="AS3" s="47"/>
    </row>
    <row r="4" customFormat="false" ht="37.5" hidden="false" customHeight="true" outlineLevel="0" collapsed="false">
      <c r="C4" s="333"/>
      <c r="D4" s="212" t="str">
        <f aca="false">ORG_VD_NAME_FORM</f>
        <v>Форма 1. Информация об организации, осуществляющей горячее водоснабжение (общая информация)</v>
      </c>
      <c r="E4" s="212"/>
      <c r="F4" s="212"/>
      <c r="G4" s="212"/>
      <c r="H4" s="212"/>
      <c r="I4" s="212"/>
      <c r="J4" s="212"/>
      <c r="K4" s="212"/>
      <c r="L4" s="212"/>
      <c r="M4" s="212"/>
      <c r="N4" s="212"/>
      <c r="O4" s="212"/>
      <c r="P4" s="212"/>
      <c r="Q4" s="212"/>
      <c r="R4" s="212"/>
      <c r="S4" s="353"/>
      <c r="T4" s="261"/>
      <c r="U4" s="261"/>
      <c r="V4" s="261"/>
      <c r="W4" s="261"/>
      <c r="X4" s="261"/>
      <c r="Y4" s="261"/>
      <c r="Z4" s="261"/>
      <c r="AA4" s="261"/>
      <c r="AB4" s="261"/>
      <c r="AC4" s="261"/>
      <c r="AD4" s="261"/>
      <c r="AE4" s="354"/>
      <c r="AF4" s="354"/>
      <c r="AG4" s="354"/>
      <c r="AH4" s="354"/>
      <c r="AI4" s="213"/>
    </row>
    <row r="5" s="42" customFormat="true" ht="17.25" hidden="false" customHeight="true" outlineLevel="0" collapsed="false">
      <c r="A5" s="45"/>
      <c r="C5" s="333"/>
      <c r="D5" s="265" t="str">
        <f aca="false">IF(org=0,"Не определено",org)</f>
        <v>ООО "Газпром теплоэнерго Ярославль"</v>
      </c>
      <c r="E5" s="265"/>
      <c r="F5" s="265"/>
      <c r="G5" s="265"/>
      <c r="H5" s="265"/>
      <c r="I5" s="265"/>
      <c r="J5" s="265"/>
      <c r="K5" s="265"/>
      <c r="L5" s="265"/>
      <c r="M5" s="265"/>
      <c r="N5" s="265"/>
      <c r="O5" s="265"/>
      <c r="P5" s="265"/>
      <c r="Q5" s="265"/>
      <c r="R5" s="265"/>
      <c r="S5" s="353"/>
      <c r="T5" s="261"/>
      <c r="U5" s="261"/>
      <c r="V5" s="261"/>
      <c r="W5" s="261"/>
      <c r="X5" s="261"/>
      <c r="Y5" s="261"/>
      <c r="Z5" s="261"/>
      <c r="AA5" s="261"/>
      <c r="AB5" s="261"/>
      <c r="AC5" s="261"/>
      <c r="AD5" s="261"/>
      <c r="AE5" s="354"/>
      <c r="AF5" s="354"/>
      <c r="AG5" s="354"/>
      <c r="AH5" s="354"/>
      <c r="AI5" s="213"/>
      <c r="AJ5" s="47"/>
      <c r="AK5" s="47"/>
      <c r="AL5" s="47"/>
      <c r="AM5" s="47"/>
      <c r="AN5" s="47"/>
      <c r="AO5" s="47"/>
      <c r="AP5" s="47"/>
      <c r="AQ5" s="47"/>
      <c r="AR5" s="47"/>
      <c r="AS5" s="47"/>
    </row>
    <row r="6" s="58" customFormat="true" ht="11.25" hidden="false" customHeight="true" outlineLevel="0" collapsed="false">
      <c r="A6" s="60"/>
      <c r="C6" s="355"/>
      <c r="D6" s="356"/>
      <c r="E6" s="356"/>
      <c r="F6" s="356"/>
      <c r="G6" s="356"/>
      <c r="H6" s="356"/>
      <c r="I6" s="356"/>
      <c r="J6" s="356"/>
      <c r="K6" s="356"/>
      <c r="L6" s="356"/>
      <c r="M6" s="356"/>
      <c r="N6" s="356"/>
      <c r="O6" s="356"/>
      <c r="P6" s="356"/>
      <c r="Q6" s="356"/>
      <c r="R6" s="296"/>
      <c r="S6" s="296"/>
      <c r="T6" s="356"/>
      <c r="U6" s="356"/>
      <c r="V6" s="357"/>
      <c r="W6" s="357"/>
      <c r="X6" s="356"/>
      <c r="Y6" s="356"/>
      <c r="Z6" s="357"/>
      <c r="AA6" s="357"/>
      <c r="AB6" s="356"/>
      <c r="AC6" s="357"/>
      <c r="AD6" s="357"/>
      <c r="AE6" s="356"/>
      <c r="AF6" s="356"/>
      <c r="AG6" s="356"/>
      <c r="AH6" s="356"/>
      <c r="AJ6" s="47"/>
      <c r="AK6" s="47"/>
      <c r="AL6" s="47"/>
      <c r="AM6" s="47"/>
      <c r="AN6" s="47"/>
      <c r="AO6" s="47"/>
      <c r="AP6" s="47"/>
      <c r="AQ6" s="47"/>
      <c r="AR6" s="47"/>
      <c r="AS6" s="47"/>
    </row>
    <row r="7" customFormat="false" ht="14.25" hidden="false" customHeight="true" outlineLevel="0" collapsed="false">
      <c r="C7" s="333"/>
      <c r="D7" s="184" t="s">
        <v>316</v>
      </c>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t="s">
        <v>317</v>
      </c>
      <c r="AF7" s="184" t="s">
        <v>317</v>
      </c>
      <c r="AG7" s="184" t="s">
        <v>317</v>
      </c>
      <c r="AH7" s="184" t="s">
        <v>317</v>
      </c>
    </row>
    <row r="8" customFormat="false" ht="25.5" hidden="false" customHeight="true" outlineLevel="0" collapsed="false">
      <c r="C8" s="333"/>
      <c r="D8" s="133" t="s">
        <v>84</v>
      </c>
      <c r="E8" s="358" t="str">
        <f aca="false">"Наименование "&amp;IF(TEMPLATE_SPHERE&lt;&gt;"HEAT","централизованной ","")&amp;"системы "&amp;TEMPLATE_SPHERE_RUS</f>
        <v>Наименование централизованной системы горячего водоснабжения</v>
      </c>
      <c r="F8" s="358" t="str">
        <f aca="false">IF(TEMPLATE_SPHERE&lt;&gt;"HEAT","Регулируемый вид деятельности","Вид регулируемой деятельности")</f>
        <v>Регулируемый вид деятельности</v>
      </c>
      <c r="G8" s="359"/>
      <c r="H8" s="358" t="s">
        <v>373</v>
      </c>
      <c r="I8" s="360" t="s">
        <v>374</v>
      </c>
      <c r="J8" s="360" t="s">
        <v>375</v>
      </c>
      <c r="K8" s="360"/>
      <c r="L8" s="360"/>
      <c r="M8" s="360"/>
      <c r="N8" s="184" t="s">
        <v>376</v>
      </c>
      <c r="O8" s="184"/>
      <c r="P8" s="184" t="s">
        <v>377</v>
      </c>
      <c r="Q8" s="184"/>
      <c r="R8" s="361" t="s">
        <v>378</v>
      </c>
      <c r="S8" s="362"/>
      <c r="T8" s="358" t="s">
        <v>379</v>
      </c>
      <c r="U8" s="358" t="s">
        <v>380</v>
      </c>
      <c r="V8" s="358" t="s">
        <v>381</v>
      </c>
      <c r="W8" s="359"/>
      <c r="X8" s="358" t="s">
        <v>382</v>
      </c>
      <c r="Y8" s="358" t="s">
        <v>383</v>
      </c>
      <c r="Z8" s="358" t="s">
        <v>384</v>
      </c>
      <c r="AA8" s="359"/>
      <c r="AB8" s="358" t="s">
        <v>385</v>
      </c>
      <c r="AC8" s="358" t="s">
        <v>378</v>
      </c>
      <c r="AD8" s="359"/>
      <c r="AE8" s="184"/>
      <c r="AF8" s="184"/>
      <c r="AG8" s="184"/>
      <c r="AH8" s="184"/>
    </row>
    <row r="9" customFormat="false" ht="43.5" hidden="false" customHeight="true" outlineLevel="0" collapsed="false">
      <c r="C9" s="333"/>
      <c r="D9" s="133"/>
      <c r="E9" s="358"/>
      <c r="F9" s="358"/>
      <c r="G9" s="363"/>
      <c r="H9" s="358"/>
      <c r="I9" s="360"/>
      <c r="J9" s="184" t="s">
        <v>386</v>
      </c>
      <c r="K9" s="184" t="s">
        <v>387</v>
      </c>
      <c r="L9" s="184" t="s">
        <v>388</v>
      </c>
      <c r="M9" s="360" t="s">
        <v>389</v>
      </c>
      <c r="N9" s="184" t="s">
        <v>390</v>
      </c>
      <c r="O9" s="184" t="s">
        <v>389</v>
      </c>
      <c r="P9" s="184" t="s">
        <v>391</v>
      </c>
      <c r="Q9" s="184" t="s">
        <v>389</v>
      </c>
      <c r="R9" s="361"/>
      <c r="S9" s="364"/>
      <c r="T9" s="358"/>
      <c r="U9" s="358"/>
      <c r="V9" s="358"/>
      <c r="W9" s="363"/>
      <c r="X9" s="358"/>
      <c r="Y9" s="358"/>
      <c r="Z9" s="358"/>
      <c r="AA9" s="363"/>
      <c r="AB9" s="358"/>
      <c r="AC9" s="358"/>
      <c r="AD9" s="363"/>
      <c r="AE9" s="184"/>
      <c r="AF9" s="184"/>
      <c r="AG9" s="184"/>
      <c r="AH9" s="184"/>
    </row>
    <row r="10" customFormat="false" ht="12" hidden="true" customHeight="true" outlineLevel="0" collapsed="false">
      <c r="C10" s="365"/>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42"/>
      <c r="AP10" s="117"/>
      <c r="AQ10" s="117"/>
    </row>
    <row r="11" s="119" customFormat="true" ht="11.25" hidden="true" customHeight="true" outlineLevel="0" collapsed="false">
      <c r="C11" s="367"/>
      <c r="D11" s="368" t="s">
        <v>392</v>
      </c>
      <c r="E11" s="368"/>
      <c r="F11" s="368"/>
      <c r="G11" s="368"/>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70"/>
      <c r="AF11" s="370"/>
      <c r="AG11" s="370"/>
      <c r="AH11" s="370"/>
      <c r="AJ11" s="47"/>
      <c r="AK11" s="47"/>
      <c r="AL11" s="47"/>
      <c r="AM11" s="47"/>
      <c r="AN11" s="47"/>
      <c r="AO11" s="47"/>
      <c r="AP11" s="47"/>
      <c r="AQ11" s="47"/>
      <c r="AR11" s="47"/>
      <c r="AS11" s="47"/>
    </row>
    <row r="12" customFormat="false" ht="14.25" hidden="false" customHeight="true" outlineLevel="0" collapsed="false">
      <c r="A12" s="42"/>
      <c r="C12" s="333"/>
      <c r="D12" s="371" t="s">
        <v>117</v>
      </c>
      <c r="E12" s="330"/>
      <c r="F12" s="372"/>
      <c r="G12" s="373"/>
      <c r="H12" s="374"/>
      <c r="I12" s="374"/>
      <c r="J12" s="375"/>
      <c r="K12" s="376"/>
      <c r="L12" s="377"/>
      <c r="M12" s="376"/>
      <c r="N12" s="375"/>
      <c r="O12" s="376"/>
      <c r="P12" s="375"/>
      <c r="Q12" s="376"/>
      <c r="R12" s="375"/>
      <c r="S12" s="378"/>
      <c r="T12" s="374"/>
      <c r="U12" s="375"/>
      <c r="V12" s="375"/>
      <c r="W12" s="363"/>
      <c r="X12" s="374"/>
      <c r="Y12" s="375"/>
      <c r="Z12" s="375"/>
      <c r="AA12" s="363"/>
      <c r="AB12" s="374"/>
      <c r="AC12" s="375"/>
      <c r="AD12" s="363"/>
      <c r="AE12" s="379" t="s">
        <v>393</v>
      </c>
      <c r="AF12" s="379" t="s">
        <v>394</v>
      </c>
      <c r="AG12" s="379" t="s">
        <v>395</v>
      </c>
      <c r="AH12" s="379" t="s">
        <v>396</v>
      </c>
      <c r="AI12" s="42"/>
      <c r="AP12" s="117" t="s">
        <v>397</v>
      </c>
      <c r="AQ12" s="117" t="s">
        <v>397</v>
      </c>
    </row>
    <row r="13" customFormat="false" ht="17.25" hidden="false" customHeight="true" outlineLevel="0" collapsed="false">
      <c r="A13" s="42"/>
      <c r="C13" s="333"/>
      <c r="D13" s="380"/>
      <c r="E13" s="381" t="str">
        <f aca="false">IF(TITLE_DIFFERENTIATION_TYPE="нет","","Добавить систему")</f>
        <v/>
      </c>
      <c r="F13" s="381" t="str">
        <f aca="false">IF(TITLE_DIFFERENTIATION_TYPE="нет","Добавить вид деятельности","")</f>
        <v>Добавить вид деятельности</v>
      </c>
      <c r="G13" s="382"/>
      <c r="H13" s="383"/>
      <c r="I13" s="383"/>
      <c r="J13" s="383"/>
      <c r="K13" s="383"/>
      <c r="L13" s="383"/>
      <c r="M13" s="383"/>
      <c r="N13" s="383"/>
      <c r="O13" s="383"/>
      <c r="P13" s="383"/>
      <c r="Q13" s="383"/>
      <c r="R13" s="383"/>
      <c r="S13" s="383"/>
      <c r="T13" s="383"/>
      <c r="U13" s="383"/>
      <c r="V13" s="383"/>
      <c r="W13" s="383"/>
      <c r="X13" s="383"/>
      <c r="Y13" s="383"/>
      <c r="Z13" s="383"/>
      <c r="AA13" s="383"/>
      <c r="AB13" s="383"/>
      <c r="AC13" s="383"/>
      <c r="AD13" s="384"/>
      <c r="AE13" s="379"/>
      <c r="AF13" s="379"/>
      <c r="AG13" s="379"/>
      <c r="AH13" s="379"/>
      <c r="AI13" s="42"/>
    </row>
    <row r="14" customFormat="false" ht="14.25" hidden="false" customHeight="true" outlineLevel="0" collapsed="false">
      <c r="AI14" s="42"/>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U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45" width="9.14"/>
    <col collapsed="false" customWidth="true" hidden="true" outlineLevel="0" max="2" min="2" style="42" width="9.14"/>
    <col collapsed="false" customWidth="true" hidden="false" outlineLevel="0" max="3" min="3" style="116" width="3.71"/>
    <col collapsed="false" customWidth="true" hidden="false" outlineLevel="0" max="4" min="4" style="42" width="5.57"/>
    <col collapsed="false" customWidth="true" hidden="false" outlineLevel="0" max="5" min="5" style="42" width="38.14"/>
    <col collapsed="false" customWidth="true" hidden="false" outlineLevel="0" max="7" min="6" style="42" width="3.71"/>
    <col collapsed="false" customWidth="true" hidden="false" outlineLevel="0" max="8" min="8" style="42" width="38.28"/>
    <col collapsed="false" customWidth="true" hidden="false" outlineLevel="0" max="9" min="9" style="42" width="35.71"/>
    <col collapsed="false" customWidth="true" hidden="false" outlineLevel="0" max="10" min="10" style="42" width="103.71"/>
    <col collapsed="false" customWidth="true" hidden="false" outlineLevel="0" max="11" min="11" style="128" width="3.71"/>
    <col collapsed="false" customWidth="false" hidden="false" outlineLevel="0" max="14" min="12" style="47" width="10.57"/>
    <col collapsed="false" customWidth="true" hidden="false" outlineLevel="0" max="15" min="15" style="47" width="13.71"/>
    <col collapsed="false" customWidth="true" hidden="false" outlineLevel="0" max="16" min="16" style="47" width="15.42"/>
    <col collapsed="false" customWidth="true" hidden="false" outlineLevel="0" max="17" min="17" style="47" width="16.28"/>
    <col collapsed="false" customWidth="false" hidden="false" outlineLevel="0" max="21" min="18" style="47" width="10.57"/>
  </cols>
  <sheetData>
    <row r="1" customFormat="false" ht="14.25" hidden="true" customHeight="true" outlineLevel="0" collapsed="false">
      <c r="E1" s="156"/>
      <c r="F1" s="156"/>
      <c r="G1" s="156"/>
      <c r="H1" s="44" t="s">
        <v>368</v>
      </c>
      <c r="I1" s="44"/>
    </row>
    <row r="2" s="42" customFormat="true" ht="14.25" hidden="true" customHeight="true" outlineLevel="0" collapsed="false">
      <c r="C2" s="333"/>
      <c r="D2" s="385" t="s">
        <v>117</v>
      </c>
      <c r="E2" s="386"/>
      <c r="F2" s="387"/>
      <c r="G2" s="197" t="s">
        <v>117</v>
      </c>
      <c r="H2" s="337"/>
      <c r="I2" s="388"/>
      <c r="L2" s="47"/>
      <c r="M2" s="47"/>
      <c r="N2" s="47"/>
      <c r="O2" s="47" t="s">
        <v>398</v>
      </c>
      <c r="P2" s="47"/>
      <c r="Q2" s="47"/>
      <c r="R2" s="117" t="s">
        <v>397</v>
      </c>
      <c r="S2" s="117" t="s">
        <v>397</v>
      </c>
      <c r="T2" s="47"/>
      <c r="U2" s="47"/>
    </row>
    <row r="3" s="42" customFormat="true" ht="14.25" hidden="true" customHeight="true" outlineLevel="0" collapsed="false">
      <c r="C3" s="333"/>
      <c r="D3" s="385"/>
      <c r="E3" s="386"/>
      <c r="F3" s="380"/>
      <c r="G3" s="381"/>
      <c r="H3" s="381" t="s">
        <v>399</v>
      </c>
      <c r="I3" s="382"/>
      <c r="L3" s="47"/>
      <c r="M3" s="47"/>
      <c r="N3" s="47"/>
      <c r="O3" s="47"/>
      <c r="P3" s="47"/>
      <c r="Q3" s="47"/>
      <c r="R3" s="117"/>
      <c r="S3" s="117"/>
      <c r="T3" s="47"/>
      <c r="U3" s="47"/>
    </row>
    <row r="4" customFormat="false" ht="14.25" hidden="true" customHeight="true" outlineLevel="0" collapsed="false"/>
    <row r="5" s="60" customFormat="true" ht="6" hidden="false" customHeight="true" outlineLevel="0" collapsed="false">
      <c r="C5" s="70"/>
      <c r="D5" s="352"/>
      <c r="E5" s="352"/>
      <c r="F5" s="352"/>
      <c r="G5" s="352"/>
      <c r="H5" s="352" t="s">
        <v>372</v>
      </c>
      <c r="I5" s="352"/>
      <c r="J5" s="352"/>
      <c r="L5" s="47"/>
      <c r="M5" s="47"/>
      <c r="N5" s="47"/>
      <c r="O5" s="47"/>
      <c r="P5" s="47"/>
      <c r="Q5" s="47"/>
      <c r="R5" s="47"/>
      <c r="S5" s="47"/>
      <c r="T5" s="47"/>
      <c r="U5" s="47"/>
    </row>
    <row r="6" customFormat="false" ht="27.75" hidden="false" customHeight="true" outlineLevel="0" collapsed="false">
      <c r="C6" s="333"/>
      <c r="D6" s="389" t="s">
        <v>400</v>
      </c>
      <c r="E6" s="389"/>
      <c r="F6" s="389"/>
      <c r="G6" s="389"/>
      <c r="H6" s="389"/>
      <c r="I6" s="389"/>
      <c r="J6" s="354"/>
      <c r="K6" s="213"/>
    </row>
    <row r="7" customFormat="false" ht="17.25" hidden="false" customHeight="true" outlineLevel="0" collapsed="false">
      <c r="C7" s="333"/>
      <c r="D7" s="265" t="str">
        <f aca="false">IF(org=0,"Не определено",org)</f>
        <v>ООО "Газпром теплоэнерго Ярославль"</v>
      </c>
      <c r="E7" s="265"/>
      <c r="F7" s="265"/>
      <c r="G7" s="265"/>
      <c r="H7" s="265"/>
      <c r="I7" s="265"/>
      <c r="J7" s="354"/>
      <c r="K7" s="213"/>
    </row>
    <row r="8" s="58" customFormat="true" ht="6" hidden="false" customHeight="true" outlineLevel="0" collapsed="false">
      <c r="A8" s="60"/>
      <c r="C8" s="355"/>
      <c r="D8" s="356"/>
      <c r="E8" s="356"/>
      <c r="F8" s="356"/>
      <c r="G8" s="356"/>
      <c r="H8" s="356"/>
      <c r="I8" s="356"/>
      <c r="J8" s="356"/>
      <c r="L8" s="47"/>
      <c r="M8" s="47"/>
      <c r="N8" s="47"/>
      <c r="O8" s="47"/>
      <c r="P8" s="47"/>
      <c r="Q8" s="47"/>
      <c r="R8" s="47"/>
      <c r="S8" s="47"/>
      <c r="T8" s="47"/>
      <c r="U8" s="47"/>
    </row>
    <row r="9" s="58" customFormat="true" ht="6" hidden="false" customHeight="true" outlineLevel="0" collapsed="false">
      <c r="A9" s="60"/>
      <c r="C9" s="355"/>
      <c r="D9" s="356"/>
      <c r="E9" s="356"/>
      <c r="F9" s="356"/>
      <c r="G9" s="356"/>
      <c r="H9" s="356"/>
      <c r="I9" s="356"/>
      <c r="J9" s="356"/>
      <c r="L9" s="47"/>
      <c r="M9" s="47"/>
      <c r="N9" s="47"/>
      <c r="O9" s="47"/>
      <c r="P9" s="47"/>
      <c r="Q9" s="47"/>
      <c r="R9" s="47"/>
      <c r="S9" s="47"/>
      <c r="T9" s="47"/>
      <c r="U9" s="47"/>
    </row>
    <row r="10" customFormat="false" ht="14.25" hidden="false" customHeight="true" outlineLevel="0" collapsed="false">
      <c r="C10" s="333"/>
      <c r="D10" s="360" t="s">
        <v>316</v>
      </c>
      <c r="E10" s="360"/>
      <c r="F10" s="360"/>
      <c r="G10" s="360"/>
      <c r="H10" s="360"/>
      <c r="I10" s="360"/>
      <c r="J10" s="184" t="s">
        <v>317</v>
      </c>
    </row>
    <row r="11" customFormat="false" ht="25.5" hidden="false" customHeight="true" outlineLevel="0" collapsed="false">
      <c r="C11" s="333"/>
      <c r="D11" s="133" t="s">
        <v>84</v>
      </c>
      <c r="E11" s="358" t="s">
        <v>113</v>
      </c>
      <c r="F11" s="133" t="s">
        <v>84</v>
      </c>
      <c r="G11" s="133"/>
      <c r="H11" s="133" t="s">
        <v>401</v>
      </c>
      <c r="I11" s="133" t="s">
        <v>402</v>
      </c>
      <c r="J11" s="184"/>
    </row>
    <row r="12" customFormat="false" ht="14.25" hidden="false" customHeight="true" outlineLevel="0" collapsed="false">
      <c r="C12" s="333"/>
      <c r="D12" s="133"/>
      <c r="E12" s="358"/>
      <c r="F12" s="133"/>
      <c r="G12" s="133"/>
      <c r="H12" s="133"/>
      <c r="I12" s="133"/>
      <c r="J12" s="184"/>
    </row>
    <row r="13" s="119" customFormat="true" ht="11.25" hidden="true" customHeight="true" outlineLevel="0" collapsed="false">
      <c r="C13" s="367"/>
      <c r="D13" s="368" t="s">
        <v>392</v>
      </c>
      <c r="E13" s="368"/>
      <c r="F13" s="368"/>
      <c r="G13" s="368"/>
      <c r="H13" s="369"/>
      <c r="I13" s="369"/>
      <c r="J13" s="370"/>
      <c r="L13" s="47"/>
      <c r="M13" s="47"/>
      <c r="N13" s="47"/>
      <c r="O13" s="47"/>
      <c r="P13" s="47"/>
      <c r="Q13" s="47"/>
      <c r="R13" s="47"/>
      <c r="S13" s="47"/>
      <c r="T13" s="47"/>
      <c r="U13" s="47"/>
    </row>
    <row r="14" customFormat="false" ht="14.25" hidden="false" customHeight="true" outlineLevel="0" collapsed="false">
      <c r="A14" s="42"/>
      <c r="C14" s="333"/>
      <c r="D14" s="385" t="s">
        <v>117</v>
      </c>
      <c r="E14" s="386"/>
      <c r="F14" s="387"/>
      <c r="G14" s="197" t="s">
        <v>117</v>
      </c>
      <c r="H14" s="337"/>
      <c r="I14" s="388"/>
      <c r="J14" s="224" t="s">
        <v>403</v>
      </c>
      <c r="K14" s="42"/>
      <c r="R14" s="117" t="s">
        <v>397</v>
      </c>
      <c r="S14" s="117" t="s">
        <v>397</v>
      </c>
    </row>
    <row r="15" customFormat="false" ht="14.25" hidden="false" customHeight="true" outlineLevel="0" collapsed="false">
      <c r="A15" s="42"/>
      <c r="C15" s="333"/>
      <c r="D15" s="385"/>
      <c r="E15" s="386"/>
      <c r="F15" s="380"/>
      <c r="G15" s="381"/>
      <c r="H15" s="381" t="s">
        <v>399</v>
      </c>
      <c r="I15" s="382"/>
      <c r="J15" s="224"/>
      <c r="K15" s="42"/>
      <c r="R15" s="117"/>
      <c r="S15" s="117"/>
    </row>
    <row r="16" customFormat="false" ht="14.25" hidden="false" customHeight="true" outlineLevel="0" collapsed="false">
      <c r="A16" s="42"/>
      <c r="C16" s="333"/>
      <c r="D16" s="380"/>
      <c r="E16" s="381" t="s">
        <v>128</v>
      </c>
      <c r="F16" s="382"/>
      <c r="G16" s="382"/>
      <c r="H16" s="383"/>
      <c r="I16" s="383"/>
      <c r="J16" s="224"/>
      <c r="K16" s="42"/>
    </row>
    <row r="17" customFormat="false" ht="14.25" hidden="false" customHeight="true" outlineLevel="0" collapsed="false">
      <c r="K17" s="42"/>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45" width="9.14"/>
    <col collapsed="false" customWidth="true" hidden="true" outlineLevel="0" max="3" min="2" style="42" width="9.14"/>
    <col collapsed="false" customWidth="true" hidden="false" outlineLevel="0" max="4" min="4" style="116" width="3.71"/>
    <col collapsed="false" customWidth="true" hidden="false" outlineLevel="0" max="5" min="5" style="42" width="6.28"/>
    <col collapsed="false" customWidth="true" hidden="true" outlineLevel="0" max="6" min="6" style="42" width="1.71"/>
    <col collapsed="false" customWidth="true" hidden="false" outlineLevel="0" max="8" min="7" style="42" width="30.71"/>
    <col collapsed="false" customWidth="true" hidden="false" outlineLevel="0" max="9" min="9" style="42" width="9"/>
    <col collapsed="false" customWidth="true" hidden="false" outlineLevel="0" max="10" min="10" style="42" width="12.14"/>
    <col collapsed="false" customWidth="true" hidden="false" outlineLevel="0" max="11" min="11" style="42" width="46.71"/>
    <col collapsed="false" customWidth="true" hidden="false" outlineLevel="0" max="12" min="12" style="42" width="100.28"/>
    <col collapsed="false" customWidth="true" hidden="false" outlineLevel="0" max="13" min="13" style="128" width="7.57"/>
    <col collapsed="false" customWidth="false" hidden="false" outlineLevel="0" max="22" min="14" style="42" width="10.57"/>
  </cols>
  <sheetData>
    <row r="1" s="47" customFormat="true" ht="5.25" hidden="true" customHeight="true" outlineLevel="0" collapsed="false">
      <c r="D1" s="120"/>
      <c r="G1" s="47" t="s">
        <v>79</v>
      </c>
      <c r="H1" s="47" t="s">
        <v>80</v>
      </c>
      <c r="I1" s="47" t="s">
        <v>81</v>
      </c>
      <c r="P1" s="47" t="s">
        <v>79</v>
      </c>
      <c r="Q1" s="47" t="s">
        <v>80</v>
      </c>
      <c r="R1" s="47" t="s">
        <v>81</v>
      </c>
    </row>
    <row r="2" s="47" customFormat="true" ht="5.25" hidden="true" customHeight="true" outlineLevel="0" collapsed="false">
      <c r="D2" s="120"/>
    </row>
    <row r="3" s="58" customFormat="true" ht="6" hidden="false" customHeight="true" outlineLevel="0" collapsed="false">
      <c r="A3" s="60"/>
      <c r="D3" s="355"/>
      <c r="E3" s="57"/>
      <c r="F3" s="57"/>
      <c r="G3" s="57"/>
      <c r="H3" s="57"/>
      <c r="I3" s="390"/>
      <c r="J3" s="391"/>
      <c r="K3" s="391"/>
      <c r="L3" s="391"/>
    </row>
    <row r="4" customFormat="false" ht="22.5" hidden="false" customHeight="true" outlineLevel="0" collapsed="false">
      <c r="D4" s="333"/>
      <c r="E4" s="260" t="s">
        <v>404</v>
      </c>
      <c r="F4" s="260"/>
      <c r="G4" s="260"/>
      <c r="H4" s="260"/>
      <c r="I4" s="260"/>
      <c r="J4" s="354"/>
      <c r="K4" s="392"/>
      <c r="L4" s="392"/>
    </row>
    <row r="5" s="42" customFormat="true" ht="17.25" hidden="false" customHeight="true" outlineLevel="0" collapsed="false">
      <c r="A5" s="45"/>
      <c r="D5" s="333"/>
      <c r="E5" s="265" t="str">
        <f aca="false">IF(org=0,"Не определено",org)</f>
        <v>ООО "Газпром теплоэнерго Ярославль"</v>
      </c>
      <c r="F5" s="265"/>
      <c r="G5" s="265"/>
      <c r="H5" s="265"/>
      <c r="I5" s="265"/>
      <c r="J5" s="354"/>
      <c r="K5" s="392"/>
      <c r="L5" s="392"/>
      <c r="M5" s="128"/>
    </row>
    <row r="6" s="58" customFormat="true" ht="11.25" hidden="false" customHeight="true" outlineLevel="0" collapsed="false">
      <c r="A6" s="60"/>
      <c r="D6" s="355"/>
      <c r="E6" s="57"/>
      <c r="F6" s="57"/>
      <c r="G6" s="393"/>
      <c r="H6" s="393"/>
      <c r="I6" s="356"/>
      <c r="J6" s="356"/>
      <c r="K6" s="296"/>
      <c r="L6" s="356"/>
    </row>
    <row r="7" customFormat="false" ht="14.25" hidden="false" customHeight="true" outlineLevel="0" collapsed="false">
      <c r="D7" s="333"/>
      <c r="E7" s="300" t="s">
        <v>316</v>
      </c>
      <c r="F7" s="300"/>
      <c r="G7" s="300"/>
      <c r="H7" s="300"/>
      <c r="I7" s="300"/>
      <c r="J7" s="300"/>
      <c r="K7" s="300"/>
      <c r="L7" s="358" t="s">
        <v>317</v>
      </c>
    </row>
    <row r="8" customFormat="false" ht="45" hidden="false" customHeight="true" outlineLevel="0" collapsed="false">
      <c r="D8" s="333"/>
      <c r="E8" s="394" t="s">
        <v>84</v>
      </c>
      <c r="F8" s="394"/>
      <c r="G8" s="145" t="s">
        <v>82</v>
      </c>
      <c r="H8" s="145" t="s">
        <v>83</v>
      </c>
      <c r="I8" s="184" t="s">
        <v>81</v>
      </c>
      <c r="J8" s="184" t="s">
        <v>405</v>
      </c>
      <c r="K8" s="184" t="s">
        <v>406</v>
      </c>
      <c r="L8" s="358"/>
    </row>
    <row r="9" customFormat="false" ht="12" hidden="true" customHeight="true" outlineLevel="0" collapsed="false">
      <c r="D9" s="365"/>
      <c r="E9" s="395"/>
      <c r="F9" s="395"/>
      <c r="G9" s="395"/>
      <c r="H9" s="395"/>
      <c r="I9" s="395"/>
      <c r="J9" s="395"/>
      <c r="K9" s="395"/>
      <c r="L9" s="395"/>
      <c r="M9" s="42"/>
    </row>
    <row r="10" customFormat="false" ht="14.25" hidden="true" customHeight="true" outlineLevel="0" collapsed="false">
      <c r="A10" s="42"/>
      <c r="D10" s="333"/>
      <c r="E10" s="145" t="n">
        <v>0</v>
      </c>
      <c r="F10" s="145"/>
      <c r="G10" s="396"/>
      <c r="H10" s="396"/>
      <c r="I10" s="396"/>
      <c r="J10" s="396"/>
      <c r="K10" s="396"/>
      <c r="L10" s="379" t="s">
        <v>407</v>
      </c>
    </row>
    <row r="11" customFormat="false" ht="15" hidden="true" customHeight="true" outlineLevel="0" collapsed="false">
      <c r="A11" s="43"/>
      <c r="B11" s="131"/>
      <c r="C11" s="131"/>
      <c r="D11" s="397"/>
      <c r="E11" s="398"/>
      <c r="F11" s="398"/>
      <c r="G11" s="398"/>
      <c r="H11" s="398"/>
      <c r="I11" s="193"/>
      <c r="J11" s="399"/>
      <c r="K11" s="400"/>
      <c r="L11" s="379"/>
      <c r="M11" s="47"/>
      <c r="N11" s="47"/>
      <c r="O11" s="47"/>
      <c r="P11" s="46"/>
      <c r="Q11" s="46"/>
      <c r="R11" s="401"/>
      <c r="S11" s="47"/>
      <c r="T11" s="47"/>
      <c r="U11" s="47"/>
      <c r="V11" s="47"/>
    </row>
    <row r="12" s="58" customFormat="true" ht="14.25" hidden="false" customHeight="true" outlineLevel="0" collapsed="false">
      <c r="A12" s="43"/>
      <c r="B12" s="131"/>
      <c r="C12" s="131"/>
      <c r="D12" s="402"/>
      <c r="E12" s="394" t="n">
        <v>1</v>
      </c>
      <c r="F12" s="403" t="n">
        <v>23</v>
      </c>
      <c r="G12" s="404"/>
      <c r="H12" s="152"/>
      <c r="I12" s="153"/>
      <c r="J12" s="405" t="s">
        <v>63</v>
      </c>
      <c r="K12" s="406"/>
      <c r="L12" s="379"/>
      <c r="M12" s="47"/>
      <c r="N12" s="47"/>
      <c r="O12" s="47"/>
      <c r="P12" s="46" t="s">
        <v>408</v>
      </c>
      <c r="Q12" s="46" t="s">
        <v>409</v>
      </c>
      <c r="R12" s="401" t="s">
        <v>410</v>
      </c>
      <c r="S12" s="47" t="s">
        <v>411</v>
      </c>
      <c r="T12" s="47"/>
      <c r="U12" s="47"/>
      <c r="V12" s="47"/>
    </row>
    <row r="13" customFormat="false" ht="15" hidden="false" customHeight="true" outlineLevel="0" collapsed="false">
      <c r="A13" s="43"/>
      <c r="D13" s="333"/>
      <c r="E13" s="380"/>
      <c r="F13" s="407"/>
      <c r="G13" s="167" t="s">
        <v>98</v>
      </c>
      <c r="H13" s="408"/>
      <c r="I13" s="408"/>
      <c r="J13" s="408"/>
      <c r="K13" s="409"/>
      <c r="L13" s="379"/>
      <c r="M13" s="42"/>
    </row>
    <row r="14" customFormat="false" ht="11.25" hidden="false" customHeight="true" outlineLevel="0" collapsed="false">
      <c r="A14" s="60"/>
      <c r="B14" s="58"/>
      <c r="C14" s="58"/>
      <c r="D14" s="410"/>
      <c r="E14" s="58"/>
      <c r="F14" s="58"/>
      <c r="G14" s="58"/>
      <c r="H14" s="58"/>
      <c r="I14" s="58"/>
      <c r="J14" s="58"/>
      <c r="K14" s="58"/>
      <c r="L14" s="58"/>
      <c r="M14" s="58"/>
      <c r="N14" s="58"/>
      <c r="O14" s="58"/>
      <c r="P14" s="58"/>
      <c r="Q14" s="58"/>
      <c r="R14" s="58"/>
      <c r="S14" s="58"/>
      <c r="T14" s="58"/>
      <c r="U14" s="58"/>
      <c r="V14" s="58"/>
    </row>
    <row r="15" customFormat="false" ht="14.25" hidden="false" customHeight="true" outlineLevel="0" collapsed="false">
      <c r="D15" s="411"/>
      <c r="E15" s="412"/>
      <c r="F15" s="412"/>
      <c r="G15" s="413"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11"/>
      <c r="I15" s="411"/>
      <c r="J15" s="411"/>
      <c r="K15" s="411"/>
      <c r="L15" s="411"/>
    </row>
  </sheetData>
  <mergeCells count="6">
    <mergeCell ref="E4:I4"/>
    <mergeCell ref="E5:I5"/>
    <mergeCell ref="E7:K7"/>
    <mergeCell ref="L7:L8"/>
    <mergeCell ref="L10:L13"/>
    <mergeCell ref="A11:A13"/>
  </mergeCells>
  <dataValidations count="3">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12"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71"/>
    <col collapsed="false" customWidth="true" hidden="false" outlineLevel="0" max="18" min="17" style="414" width="3.71"/>
    <col collapsed="false" customWidth="true" hidden="false" outlineLevel="0" max="19" min="19" style="75" width="12.71"/>
    <col collapsed="false" customWidth="true" hidden="false" outlineLevel="0" max="20" min="20" style="42" width="35.71"/>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7" width="10.57"/>
    <col collapsed="false" customWidth="true" hidden="false" outlineLevel="0" max="42" min="42" style="47" width="11.14"/>
    <col collapsed="false" customWidth="false" hidden="false" outlineLevel="0" max="44" min="43" style="47" width="10.57"/>
  </cols>
  <sheetData>
    <row r="1" customFormat="false" ht="14.25" hidden="true" customHeight="true" outlineLevel="0" collapsed="false"/>
    <row r="2" customFormat="false" ht="21" hidden="true" customHeight="true" outlineLevel="0" collapsed="false">
      <c r="A2" s="415"/>
      <c r="B2" s="415"/>
      <c r="C2" s="415"/>
      <c r="D2" s="415"/>
      <c r="E2" s="416" t="n">
        <v>1</v>
      </c>
      <c r="F2" s="415"/>
      <c r="G2" s="415"/>
      <c r="H2" s="415"/>
      <c r="I2" s="415"/>
      <c r="J2" s="415"/>
      <c r="K2" s="415"/>
      <c r="L2" s="417"/>
      <c r="M2" s="40"/>
      <c r="N2" s="40"/>
      <c r="O2" s="40"/>
      <c r="Q2" s="131"/>
      <c r="R2" s="418"/>
      <c r="S2" s="419" t="e">
        <f aca="false">INDEX(PT_DIFFERENTIATION_NUM_NTAR,MATCH(A2,PT_DIFFERENTIATION_NTAR_ID,0))</f>
        <v>#N/A</v>
      </c>
      <c r="T2" s="420" t="s">
        <v>130</v>
      </c>
      <c r="U2" s="421"/>
      <c r="V2" s="422"/>
      <c r="W2" s="422"/>
      <c r="X2" s="422"/>
      <c r="Y2" s="422"/>
      <c r="Z2" s="422"/>
      <c r="AA2" s="422"/>
      <c r="AB2" s="422"/>
      <c r="AC2" s="422"/>
      <c r="AD2" s="423" t="e">
        <f aca="false">INDEX(PT_DIFFERENTIATION_NTAR,MATCH(A2,PT_DIFFERENTIATION_NTAR_ID,0))</f>
        <v>#N/A</v>
      </c>
      <c r="AE2" s="423"/>
      <c r="AF2" s="423"/>
      <c r="AG2" s="423"/>
      <c r="AH2" s="423"/>
      <c r="AI2" s="423"/>
      <c r="AJ2" s="423"/>
      <c r="AK2" s="423"/>
      <c r="AL2" s="423"/>
      <c r="AM2" s="424" t="s">
        <v>412</v>
      </c>
      <c r="AO2" s="117"/>
      <c r="AP2" s="117" t="str">
        <f aca="false">IF(T2="","",T2)</f>
        <v>Наименование тарифа</v>
      </c>
      <c r="AQ2" s="117"/>
      <c r="AR2" s="117"/>
    </row>
    <row r="3" customFormat="false" ht="21" hidden="true" customHeight="true" outlineLevel="0" collapsed="false">
      <c r="A3" s="415"/>
      <c r="B3" s="415"/>
      <c r="C3" s="415"/>
      <c r="D3" s="415"/>
      <c r="E3" s="416"/>
      <c r="F3" s="416" t="n">
        <v>1</v>
      </c>
      <c r="G3" s="415"/>
      <c r="H3" s="415"/>
      <c r="I3" s="415"/>
      <c r="J3" s="415"/>
      <c r="K3" s="415"/>
      <c r="L3" s="417"/>
      <c r="M3" s="40"/>
      <c r="N3" s="40"/>
      <c r="O3" s="40"/>
      <c r="P3" s="43"/>
      <c r="Q3" s="425"/>
      <c r="R3" s="426"/>
      <c r="S3" s="419" t="e">
        <f aca="false">INDEX(PT_DIFFERENTIATION_NUM_TER,MATCH(B3,PT_DIFFERENTIATION_TER_ID,0))</f>
        <v>#N/A</v>
      </c>
      <c r="T3" s="427" t="s">
        <v>413</v>
      </c>
      <c r="U3" s="421"/>
      <c r="V3" s="422"/>
      <c r="W3" s="422"/>
      <c r="X3" s="422"/>
      <c r="Y3" s="422"/>
      <c r="Z3" s="422"/>
      <c r="AA3" s="422"/>
      <c r="AB3" s="422"/>
      <c r="AC3" s="422"/>
      <c r="AD3" s="423" t="e">
        <f aca="false">INDEX(PT_DIFFERENTIATION_TER,MATCH(B3,PT_DIFFERENTIATION_TER_ID,0))</f>
        <v>#N/A</v>
      </c>
      <c r="AE3" s="423"/>
      <c r="AF3" s="423"/>
      <c r="AG3" s="423"/>
      <c r="AH3" s="423"/>
      <c r="AI3" s="423"/>
      <c r="AJ3" s="423"/>
      <c r="AK3" s="423"/>
      <c r="AL3" s="423"/>
      <c r="AM3" s="424" t="s">
        <v>414</v>
      </c>
      <c r="AO3" s="117"/>
      <c r="AP3" s="117" t="str">
        <f aca="false">IF(T3="","",T3)</f>
        <v>Территория действия тарифа</v>
      </c>
      <c r="AQ3" s="117"/>
      <c r="AR3" s="117"/>
    </row>
    <row r="4" customFormat="false" ht="23.25" hidden="true" customHeight="true" outlineLevel="0" collapsed="false">
      <c r="A4" s="415"/>
      <c r="B4" s="415"/>
      <c r="C4" s="415"/>
      <c r="D4" s="415"/>
      <c r="E4" s="416"/>
      <c r="F4" s="416"/>
      <c r="G4" s="416" t="n">
        <v>1</v>
      </c>
      <c r="H4" s="415"/>
      <c r="I4" s="415"/>
      <c r="J4" s="415"/>
      <c r="K4" s="415"/>
      <c r="L4" s="417"/>
      <c r="M4" s="40"/>
      <c r="N4" s="40"/>
      <c r="O4" s="40"/>
      <c r="P4" s="428"/>
      <c r="Q4" s="425"/>
      <c r="R4" s="426"/>
      <c r="S4" s="419" t="e">
        <f aca="false">INDEX(PT_DIFFERENTIATION_NUM_CS,MATCH(C4,PT_DIFFERENTIATION_CS_ID,0))</f>
        <v>#N/A</v>
      </c>
      <c r="T4" s="429" t="s">
        <v>415</v>
      </c>
      <c r="U4" s="421"/>
      <c r="V4" s="422"/>
      <c r="W4" s="422"/>
      <c r="X4" s="422"/>
      <c r="Y4" s="422"/>
      <c r="Z4" s="422"/>
      <c r="AA4" s="422"/>
      <c r="AB4" s="422"/>
      <c r="AC4" s="422"/>
      <c r="AD4" s="423" t="e">
        <f aca="false">INDEX(PT_DIFFERENTIATION_CS,MATCH(C4,PT_DIFFERENTIATION_CS_ID,0))</f>
        <v>#N/A</v>
      </c>
      <c r="AE4" s="423"/>
      <c r="AF4" s="423"/>
      <c r="AG4" s="423"/>
      <c r="AH4" s="423"/>
      <c r="AI4" s="423"/>
      <c r="AJ4" s="423"/>
      <c r="AK4" s="423"/>
      <c r="AL4" s="423"/>
      <c r="AM4" s="424" t="s">
        <v>416</v>
      </c>
      <c r="AO4" s="117"/>
      <c r="AP4" s="117" t="str">
        <f aca="false">IF(T4="","",T4)</f>
        <v>Наименование системы теплоснабжения</v>
      </c>
      <c r="AQ4" s="117"/>
      <c r="AR4" s="117"/>
    </row>
    <row r="5" customFormat="false" ht="21" hidden="true" customHeight="true" outlineLevel="0" collapsed="false">
      <c r="A5" s="415"/>
      <c r="B5" s="415"/>
      <c r="C5" s="415"/>
      <c r="D5" s="415"/>
      <c r="E5" s="416"/>
      <c r="F5" s="416"/>
      <c r="G5" s="416"/>
      <c r="H5" s="416" t="n">
        <v>1</v>
      </c>
      <c r="I5" s="415"/>
      <c r="J5" s="415"/>
      <c r="K5" s="415"/>
      <c r="L5" s="417"/>
      <c r="M5" s="40"/>
      <c r="N5" s="40"/>
      <c r="O5" s="40"/>
      <c r="P5" s="428"/>
      <c r="Q5" s="425"/>
      <c r="R5" s="426"/>
      <c r="S5" s="419" t="e">
        <f aca="false">INDEX(PT_DIFFERENTIATION_NUM_IST_TE,MATCH(D5,PT_DIFFERENTIATION_IST_TE_ID,0))</f>
        <v>#N/A</v>
      </c>
      <c r="T5" s="430" t="s">
        <v>417</v>
      </c>
      <c r="U5" s="421"/>
      <c r="V5" s="422"/>
      <c r="W5" s="422"/>
      <c r="X5" s="422"/>
      <c r="Y5" s="422"/>
      <c r="Z5" s="422"/>
      <c r="AA5" s="422"/>
      <c r="AB5" s="422"/>
      <c r="AC5" s="422"/>
      <c r="AD5" s="423" t="e">
        <f aca="false">INDEX(PT_DIFFERENTIATION_IST_TE,MATCH(D5,PT_DIFFERENTIATION_IST_TE_ID,0))</f>
        <v>#N/A</v>
      </c>
      <c r="AE5" s="423"/>
      <c r="AF5" s="423"/>
      <c r="AG5" s="423"/>
      <c r="AH5" s="423"/>
      <c r="AI5" s="423"/>
      <c r="AJ5" s="423"/>
      <c r="AK5" s="423"/>
      <c r="AL5" s="423"/>
      <c r="AM5" s="424" t="s">
        <v>418</v>
      </c>
      <c r="AO5" s="117"/>
      <c r="AP5" s="117" t="str">
        <f aca="false">IF(T5="","",T5)</f>
        <v>Источник тепловой энергии</v>
      </c>
      <c r="AQ5" s="117"/>
      <c r="AR5" s="117"/>
    </row>
    <row r="6" customFormat="false" ht="47.25" hidden="true" customHeight="true" outlineLevel="0" collapsed="false">
      <c r="A6" s="415"/>
      <c r="B6" s="415"/>
      <c r="C6" s="415"/>
      <c r="D6" s="415"/>
      <c r="E6" s="416"/>
      <c r="F6" s="416"/>
      <c r="G6" s="416"/>
      <c r="H6" s="416"/>
      <c r="I6" s="431" t="e">
        <f aca="false">S5&amp;".1"</f>
        <v>#N/A</v>
      </c>
      <c r="J6" s="415"/>
      <c r="K6" s="415"/>
      <c r="L6" s="417" t="s">
        <v>419</v>
      </c>
      <c r="M6" s="45"/>
      <c r="P6" s="120" t="n">
        <v>1</v>
      </c>
      <c r="Q6" s="120"/>
      <c r="R6" s="432"/>
      <c r="S6" s="419" t="e">
        <f aca="false">$I6</f>
        <v>#N/A</v>
      </c>
      <c r="T6" s="433" t="s">
        <v>420</v>
      </c>
      <c r="U6" s="421"/>
      <c r="V6" s="434"/>
      <c r="W6" s="434"/>
      <c r="X6" s="434"/>
      <c r="Y6" s="434"/>
      <c r="Z6" s="434"/>
      <c r="AA6" s="434"/>
      <c r="AB6" s="434"/>
      <c r="AC6" s="434"/>
      <c r="AD6" s="434"/>
      <c r="AE6" s="434"/>
      <c r="AF6" s="434"/>
      <c r="AG6" s="434"/>
      <c r="AH6" s="434"/>
      <c r="AI6" s="434"/>
      <c r="AJ6" s="434"/>
      <c r="AK6" s="434"/>
      <c r="AL6" s="434"/>
      <c r="AM6" s="424" t="s">
        <v>421</v>
      </c>
      <c r="AO6" s="117"/>
      <c r="AP6" s="117" t="str">
        <f aca="false">IF(T6="","",T6)</f>
        <v>Схема подключения теплопотребляющей установки к коллектору источника тепловой энергии</v>
      </c>
      <c r="AQ6" s="117"/>
      <c r="AR6" s="117"/>
    </row>
    <row r="7" customFormat="false" ht="21" hidden="true" customHeight="true" outlineLevel="0" collapsed="false">
      <c r="A7" s="415"/>
      <c r="B7" s="415"/>
      <c r="C7" s="415"/>
      <c r="D7" s="415"/>
      <c r="E7" s="416"/>
      <c r="F7" s="416"/>
      <c r="G7" s="416"/>
      <c r="H7" s="416"/>
      <c r="I7" s="431"/>
      <c r="J7" s="431" t="e">
        <f aca="false">I6&amp;".1"</f>
        <v>#N/A</v>
      </c>
      <c r="K7" s="415"/>
      <c r="L7" s="417" t="s">
        <v>422</v>
      </c>
      <c r="M7" s="45"/>
      <c r="N7" s="45"/>
      <c r="P7" s="120"/>
      <c r="Q7" s="120" t="n">
        <v>1</v>
      </c>
      <c r="R7" s="435"/>
      <c r="S7" s="419" t="e">
        <f aca="false">$J7</f>
        <v>#N/A</v>
      </c>
      <c r="T7" s="436" t="s">
        <v>423</v>
      </c>
      <c r="U7" s="421"/>
      <c r="V7" s="434"/>
      <c r="W7" s="434"/>
      <c r="X7" s="434"/>
      <c r="Y7" s="434"/>
      <c r="Z7" s="434"/>
      <c r="AA7" s="434"/>
      <c r="AB7" s="434"/>
      <c r="AC7" s="434"/>
      <c r="AD7" s="434"/>
      <c r="AE7" s="434"/>
      <c r="AF7" s="434"/>
      <c r="AG7" s="434"/>
      <c r="AH7" s="434"/>
      <c r="AI7" s="434"/>
      <c r="AJ7" s="434"/>
      <c r="AK7" s="434"/>
      <c r="AL7" s="434"/>
      <c r="AM7" s="424" t="s">
        <v>424</v>
      </c>
      <c r="AO7" s="117"/>
      <c r="AP7" s="117" t="str">
        <f aca="false">IF(T7="","",T7)</f>
        <v>Группа потребителей</v>
      </c>
      <c r="AQ7" s="117"/>
      <c r="AR7" s="117"/>
    </row>
    <row r="8" customFormat="false" ht="21" hidden="true" customHeight="true" outlineLevel="0" collapsed="false">
      <c r="A8" s="415"/>
      <c r="B8" s="415"/>
      <c r="C8" s="415"/>
      <c r="D8" s="415"/>
      <c r="E8" s="416"/>
      <c r="F8" s="416"/>
      <c r="G8" s="416"/>
      <c r="H8" s="416"/>
      <c r="I8" s="431"/>
      <c r="J8" s="431"/>
      <c r="K8" s="431" t="e">
        <f aca="false">J7&amp;".1"</f>
        <v>#N/A</v>
      </c>
      <c r="L8" s="417" t="s">
        <v>425</v>
      </c>
      <c r="M8" s="45"/>
      <c r="N8" s="45"/>
      <c r="O8" s="45"/>
      <c r="P8" s="120"/>
      <c r="Q8" s="120"/>
      <c r="R8" s="435" t="n">
        <v>1</v>
      </c>
      <c r="S8" s="419" t="e">
        <f aca="false">$K8</f>
        <v>#N/A</v>
      </c>
      <c r="T8" s="437"/>
      <c r="U8" s="421"/>
      <c r="V8" s="438"/>
      <c r="W8" s="439"/>
      <c r="X8" s="438"/>
      <c r="Y8" s="440"/>
      <c r="Z8" s="441"/>
      <c r="AA8" s="203" t="s">
        <v>63</v>
      </c>
      <c r="AB8" s="441"/>
      <c r="AC8" s="203" t="s">
        <v>63</v>
      </c>
      <c r="AD8" s="438"/>
      <c r="AE8" s="439"/>
      <c r="AF8" s="438"/>
      <c r="AG8" s="440"/>
      <c r="AH8" s="441"/>
      <c r="AI8" s="203" t="s">
        <v>63</v>
      </c>
      <c r="AJ8" s="441"/>
      <c r="AK8" s="203" t="s">
        <v>63</v>
      </c>
      <c r="AL8" s="439"/>
      <c r="AM8" s="442" t="s">
        <v>426</v>
      </c>
      <c r="AN8" s="47" t="e">
        <f aca="false">strcheckdate(V9:AL9)</f>
        <v>#NAME?</v>
      </c>
      <c r="AO8" s="117"/>
      <c r="AP8" s="117" t="str">
        <f aca="false">IF(T8="","",T8)</f>
        <v/>
      </c>
      <c r="AQ8" s="117"/>
      <c r="AR8" s="117"/>
    </row>
    <row r="9" customFormat="false" ht="0.75" hidden="true" customHeight="true" outlineLevel="0" collapsed="false">
      <c r="A9" s="415"/>
      <c r="B9" s="415"/>
      <c r="C9" s="415"/>
      <c r="D9" s="415"/>
      <c r="E9" s="416"/>
      <c r="F9" s="416"/>
      <c r="G9" s="416"/>
      <c r="H9" s="416"/>
      <c r="I9" s="431"/>
      <c r="J9" s="431"/>
      <c r="K9" s="431"/>
      <c r="L9" s="417"/>
      <c r="M9" s="45"/>
      <c r="N9" s="45"/>
      <c r="O9" s="45"/>
      <c r="P9" s="120"/>
      <c r="Q9" s="120"/>
      <c r="R9" s="435"/>
      <c r="S9" s="396"/>
      <c r="T9" s="421"/>
      <c r="U9" s="421"/>
      <c r="V9" s="439"/>
      <c r="W9" s="439"/>
      <c r="X9" s="439"/>
      <c r="Y9" s="443" t="str">
        <f aca="false">Z8&amp;"-"&amp;AB8</f>
        <v>-</v>
      </c>
      <c r="Z9" s="441"/>
      <c r="AA9" s="203"/>
      <c r="AB9" s="441"/>
      <c r="AC9" s="203"/>
      <c r="AD9" s="439"/>
      <c r="AE9" s="439"/>
      <c r="AF9" s="439"/>
      <c r="AG9" s="443" t="str">
        <f aca="false">AH8&amp;"-"&amp;AJ8</f>
        <v>-</v>
      </c>
      <c r="AH9" s="441"/>
      <c r="AI9" s="203"/>
      <c r="AJ9" s="441"/>
      <c r="AK9" s="203"/>
      <c r="AL9" s="439"/>
      <c r="AM9" s="442"/>
      <c r="AO9" s="117"/>
      <c r="AP9" s="117" t="str">
        <f aca="false">IF(T9="","",T9)</f>
        <v/>
      </c>
      <c r="AQ9" s="117"/>
      <c r="AR9" s="117"/>
    </row>
    <row r="10" customFormat="false" ht="15" hidden="true" customHeight="true" outlineLevel="0" collapsed="false">
      <c r="A10" s="415"/>
      <c r="B10" s="415"/>
      <c r="C10" s="415"/>
      <c r="D10" s="415"/>
      <c r="E10" s="416"/>
      <c r="F10" s="416"/>
      <c r="G10" s="416"/>
      <c r="H10" s="416"/>
      <c r="I10" s="431"/>
      <c r="J10" s="431"/>
      <c r="K10" s="415"/>
      <c r="L10" s="417"/>
      <c r="M10" s="45"/>
      <c r="N10" s="45"/>
      <c r="P10" s="120"/>
      <c r="Q10" s="120"/>
      <c r="R10" s="432"/>
      <c r="S10" s="444"/>
      <c r="T10" s="445" t="s">
        <v>427</v>
      </c>
      <c r="U10" s="193"/>
      <c r="V10" s="193"/>
      <c r="W10" s="193"/>
      <c r="X10" s="193"/>
      <c r="Y10" s="193"/>
      <c r="Z10" s="193"/>
      <c r="AA10" s="193"/>
      <c r="AB10" s="193"/>
      <c r="AC10" s="193"/>
      <c r="AD10" s="193"/>
      <c r="AE10" s="193"/>
      <c r="AF10" s="193"/>
      <c r="AG10" s="193"/>
      <c r="AH10" s="193"/>
      <c r="AI10" s="193"/>
      <c r="AJ10" s="193"/>
      <c r="AK10" s="193"/>
      <c r="AL10" s="446"/>
      <c r="AM10" s="442"/>
      <c r="AO10" s="117"/>
      <c r="AP10" s="117" t="str">
        <f aca="false">IF(T10="","",T10)</f>
        <v>Добавить вид теплоносителя (параметры теплоносителя)</v>
      </c>
      <c r="AQ10" s="117"/>
      <c r="AR10" s="117"/>
    </row>
    <row r="11" customFormat="false" ht="15" hidden="true" customHeight="true" outlineLevel="0" collapsed="false">
      <c r="A11" s="415"/>
      <c r="B11" s="415"/>
      <c r="C11" s="415"/>
      <c r="D11" s="415"/>
      <c r="E11" s="416"/>
      <c r="F11" s="416"/>
      <c r="G11" s="416"/>
      <c r="H11" s="416"/>
      <c r="I11" s="431"/>
      <c r="J11" s="415"/>
      <c r="K11" s="415"/>
      <c r="L11" s="417"/>
      <c r="M11" s="45"/>
      <c r="P11" s="120"/>
      <c r="Q11" s="120"/>
      <c r="R11" s="432"/>
      <c r="S11" s="444"/>
      <c r="T11" s="447" t="s">
        <v>428</v>
      </c>
      <c r="U11" s="193"/>
      <c r="V11" s="193"/>
      <c r="W11" s="193"/>
      <c r="X11" s="193"/>
      <c r="Y11" s="193"/>
      <c r="Z11" s="193"/>
      <c r="AA11" s="193"/>
      <c r="AB11" s="193"/>
      <c r="AC11" s="448"/>
      <c r="AD11" s="193"/>
      <c r="AE11" s="193"/>
      <c r="AF11" s="193"/>
      <c r="AG11" s="193"/>
      <c r="AH11" s="193"/>
      <c r="AI11" s="193"/>
      <c r="AJ11" s="193"/>
      <c r="AK11" s="448"/>
      <c r="AL11" s="193"/>
      <c r="AM11" s="449"/>
      <c r="AO11" s="117"/>
      <c r="AP11" s="117" t="str">
        <f aca="false">IF(T11="","",T11)</f>
        <v>Добавить группу потребителей</v>
      </c>
      <c r="AQ11" s="117"/>
      <c r="AR11" s="117"/>
    </row>
    <row r="12" customFormat="false" ht="14.25" hidden="true" customHeight="true" outlineLevel="0" collapsed="false">
      <c r="A12" s="415"/>
      <c r="B12" s="415"/>
      <c r="C12" s="415"/>
      <c r="D12" s="415"/>
      <c r="E12" s="416"/>
      <c r="F12" s="416"/>
      <c r="G12" s="416"/>
      <c r="H12" s="416"/>
      <c r="I12" s="415"/>
      <c r="J12" s="415"/>
      <c r="K12" s="415"/>
      <c r="L12" s="417"/>
      <c r="M12" s="40"/>
      <c r="N12" s="40"/>
      <c r="O12" s="45"/>
      <c r="P12" s="131"/>
      <c r="Q12" s="450"/>
      <c r="R12" s="418"/>
      <c r="S12" s="444"/>
      <c r="T12" s="451" t="s">
        <v>429</v>
      </c>
      <c r="U12" s="193"/>
      <c r="V12" s="193"/>
      <c r="W12" s="193"/>
      <c r="X12" s="193"/>
      <c r="Y12" s="193"/>
      <c r="Z12" s="193"/>
      <c r="AA12" s="193"/>
      <c r="AB12" s="193"/>
      <c r="AC12" s="448"/>
      <c r="AD12" s="193"/>
      <c r="AE12" s="193"/>
      <c r="AF12" s="193"/>
      <c r="AG12" s="193"/>
      <c r="AH12" s="193"/>
      <c r="AI12" s="193"/>
      <c r="AJ12" s="193"/>
      <c r="AK12" s="448"/>
      <c r="AL12" s="193"/>
      <c r="AM12" s="449"/>
      <c r="AO12" s="117"/>
      <c r="AP12" s="117" t="str">
        <f aca="false">IF(T12="","",T12)</f>
        <v>Добавить схему подключения</v>
      </c>
      <c r="AQ12" s="117"/>
      <c r="AR12" s="117"/>
    </row>
    <row r="13" s="47" customFormat="true" ht="0.75" hidden="true" customHeight="true" outlineLevel="0" collapsed="false">
      <c r="A13" s="121"/>
      <c r="B13" s="121"/>
      <c r="C13" s="121"/>
      <c r="D13" s="121"/>
      <c r="E13" s="416"/>
      <c r="F13" s="416"/>
      <c r="G13" s="416"/>
      <c r="H13" s="121"/>
      <c r="I13" s="121"/>
      <c r="J13" s="121"/>
      <c r="K13" s="121"/>
      <c r="L13" s="191"/>
      <c r="M13" s="46"/>
      <c r="N13" s="46"/>
      <c r="P13" s="155"/>
      <c r="Q13" s="452"/>
      <c r="R13" s="155"/>
      <c r="S13" s="453"/>
      <c r="T13" s="454" t="s">
        <v>430</v>
      </c>
      <c r="U13" s="455"/>
      <c r="V13" s="455"/>
      <c r="W13" s="455"/>
      <c r="X13" s="455"/>
      <c r="Y13" s="455"/>
      <c r="Z13" s="455"/>
      <c r="AA13" s="455"/>
      <c r="AB13" s="455"/>
      <c r="AC13" s="455"/>
      <c r="AD13" s="455"/>
      <c r="AE13" s="455"/>
      <c r="AF13" s="455"/>
      <c r="AG13" s="455"/>
      <c r="AH13" s="455"/>
      <c r="AI13" s="455"/>
      <c r="AJ13" s="455"/>
      <c r="AK13" s="455"/>
      <c r="AL13" s="455"/>
      <c r="AM13" s="455"/>
      <c r="AO13" s="117"/>
      <c r="AP13" s="117" t="str">
        <f aca="false">IF(T13="","",T13)</f>
        <v>Добавить источник для дифференциации</v>
      </c>
      <c r="AQ13" s="117"/>
      <c r="AR13" s="117"/>
    </row>
    <row r="14" s="47" customFormat="true" ht="0.75" hidden="true" customHeight="true" outlineLevel="0" collapsed="false">
      <c r="A14" s="121"/>
      <c r="B14" s="121"/>
      <c r="C14" s="121"/>
      <c r="D14" s="121"/>
      <c r="E14" s="416"/>
      <c r="F14" s="416"/>
      <c r="G14" s="121"/>
      <c r="H14" s="121"/>
      <c r="I14" s="121"/>
      <c r="J14" s="121"/>
      <c r="K14" s="121"/>
      <c r="L14" s="191"/>
      <c r="M14" s="456"/>
      <c r="N14" s="456"/>
      <c r="P14" s="155"/>
      <c r="Q14" s="452"/>
      <c r="R14" s="155"/>
      <c r="S14" s="457"/>
      <c r="T14" s="458" t="s">
        <v>261</v>
      </c>
      <c r="U14" s="459"/>
      <c r="V14" s="459"/>
      <c r="W14" s="459"/>
      <c r="X14" s="459"/>
      <c r="Y14" s="459"/>
      <c r="Z14" s="459"/>
      <c r="AA14" s="459"/>
      <c r="AB14" s="459"/>
      <c r="AC14" s="459"/>
      <c r="AD14" s="459"/>
      <c r="AE14" s="459"/>
      <c r="AF14" s="459"/>
      <c r="AG14" s="459"/>
      <c r="AH14" s="459"/>
      <c r="AI14" s="459"/>
      <c r="AJ14" s="459"/>
      <c r="AK14" s="459"/>
      <c r="AL14" s="459"/>
      <c r="AM14" s="459"/>
      <c r="AO14" s="117"/>
      <c r="AP14" s="117" t="str">
        <f aca="false">IF(T14="","",T14)</f>
        <v>Добавить централизованную систему для дифференциации</v>
      </c>
      <c r="AQ14" s="117"/>
      <c r="AR14" s="117"/>
    </row>
    <row r="15" s="47" customFormat="true" ht="0.75" hidden="true" customHeight="true" outlineLevel="0" collapsed="false">
      <c r="A15" s="121"/>
      <c r="B15" s="121"/>
      <c r="C15" s="121"/>
      <c r="D15" s="121"/>
      <c r="E15" s="416"/>
      <c r="F15" s="121"/>
      <c r="G15" s="121"/>
      <c r="H15" s="121"/>
      <c r="I15" s="121"/>
      <c r="J15" s="121"/>
      <c r="K15" s="121"/>
      <c r="L15" s="191"/>
      <c r="M15" s="456"/>
      <c r="N15" s="456"/>
      <c r="P15" s="155"/>
      <c r="Q15" s="452"/>
      <c r="R15" s="155"/>
      <c r="S15" s="457"/>
      <c r="T15" s="460" t="s">
        <v>268</v>
      </c>
      <c r="U15" s="459"/>
      <c r="V15" s="459"/>
      <c r="W15" s="459"/>
      <c r="X15" s="459"/>
      <c r="Y15" s="459"/>
      <c r="Z15" s="459"/>
      <c r="AA15" s="459"/>
      <c r="AB15" s="459"/>
      <c r="AC15" s="459"/>
      <c r="AD15" s="459"/>
      <c r="AE15" s="459"/>
      <c r="AF15" s="459"/>
      <c r="AG15" s="459"/>
      <c r="AH15" s="459"/>
      <c r="AI15" s="459"/>
      <c r="AJ15" s="459"/>
      <c r="AK15" s="459"/>
      <c r="AL15" s="459"/>
      <c r="AM15" s="459"/>
      <c r="AO15" s="117"/>
      <c r="AP15" s="117" t="str">
        <f aca="false">IF(T15="","",T15)</f>
        <v>Добавить территорию для дифференциации</v>
      </c>
      <c r="AQ15" s="117"/>
      <c r="AR15" s="117"/>
    </row>
    <row r="16" customFormat="false" ht="14.25" hidden="true" customHeight="true" outlineLevel="0" collapsed="false"/>
    <row r="17" customFormat="false" ht="14.25" hidden="true" customHeight="true" outlineLevel="0" collapsed="false">
      <c r="AD17" s="461"/>
      <c r="AE17" s="461"/>
      <c r="AF17" s="461"/>
      <c r="AG17" s="462"/>
      <c r="AH17" s="463"/>
      <c r="AI17" s="464" t="s">
        <v>63</v>
      </c>
      <c r="AJ17" s="463"/>
      <c r="AK17" s="464" t="s">
        <v>63</v>
      </c>
    </row>
    <row r="18" customFormat="false" ht="14.25" hidden="true" customHeight="true" outlineLevel="0" collapsed="false">
      <c r="AD18" s="461"/>
      <c r="AE18" s="461"/>
      <c r="AF18" s="461"/>
      <c r="AG18" s="443" t="str">
        <f aca="false">AH17&amp;"-"&amp;AJ17</f>
        <v>-</v>
      </c>
      <c r="AH18" s="463"/>
      <c r="AI18" s="463"/>
      <c r="AJ18" s="463"/>
      <c r="AK18" s="463"/>
    </row>
    <row r="19" customFormat="false" ht="14.25" hidden="true" customHeight="true" outlineLevel="0" collapsed="false"/>
    <row r="20" s="45" customFormat="true" ht="22.5" hidden="true" customHeight="true" outlineLevel="0" collapsed="false">
      <c r="L20" s="44"/>
      <c r="M20" s="51"/>
      <c r="N20" s="51"/>
      <c r="O20" s="465" t="s">
        <v>431</v>
      </c>
      <c r="P20" s="51"/>
      <c r="Q20" s="466"/>
      <c r="R20" s="466"/>
      <c r="S20" s="40"/>
      <c r="Z20" s="465"/>
      <c r="AB20" s="465"/>
      <c r="AH20" s="465"/>
      <c r="AJ20" s="465"/>
      <c r="AN20" s="47"/>
      <c r="AO20" s="47"/>
      <c r="AP20" s="47"/>
      <c r="AQ20" s="47"/>
      <c r="AR20" s="47"/>
    </row>
    <row r="21" s="45" customFormat="true" ht="14.25" hidden="true" customHeight="true" outlineLevel="0" collapsed="false">
      <c r="L21" s="44"/>
      <c r="M21" s="51"/>
      <c r="N21" s="51"/>
      <c r="O21" s="51"/>
      <c r="P21" s="51"/>
      <c r="Q21" s="466"/>
      <c r="R21" s="466"/>
      <c r="S21" s="40"/>
      <c r="AN21" s="47"/>
      <c r="AO21" s="47"/>
      <c r="AP21" s="47"/>
      <c r="AQ21" s="47"/>
      <c r="AR21" s="47"/>
    </row>
    <row r="22" s="45" customFormat="true" ht="14.25" hidden="true" customHeight="true" outlineLevel="0" collapsed="false">
      <c r="L22" s="44"/>
      <c r="M22" s="51"/>
      <c r="N22" s="51"/>
      <c r="O22" s="417" t="s">
        <v>432</v>
      </c>
      <c r="P22" s="51"/>
      <c r="Q22" s="466"/>
      <c r="R22" s="466"/>
      <c r="S22" s="40"/>
      <c r="T22" s="45" t="s">
        <v>433</v>
      </c>
      <c r="AA22" s="139" t="s">
        <v>434</v>
      </c>
      <c r="AC22" s="139" t="s">
        <v>435</v>
      </c>
      <c r="AD22" s="45" t="s">
        <v>433</v>
      </c>
      <c r="AI22" s="139" t="s">
        <v>436</v>
      </c>
      <c r="AK22" s="139" t="s">
        <v>435</v>
      </c>
      <c r="AN22" s="47"/>
      <c r="AO22" s="47"/>
      <c r="AP22" s="47"/>
      <c r="AQ22" s="47"/>
      <c r="AR22" s="47"/>
    </row>
    <row r="23" customFormat="false" ht="14.25" hidden="true" customHeight="true" outlineLevel="0" collapsed="false">
      <c r="O23" s="417"/>
    </row>
    <row r="24" customFormat="false" ht="14.25" hidden="true" customHeight="true" outlineLevel="0" collapsed="false">
      <c r="O24" s="417"/>
    </row>
    <row r="25" customFormat="false" ht="14.25" hidden="false" customHeight="true" outlineLevel="0" collapsed="false">
      <c r="Q25" s="467"/>
      <c r="R25" s="467"/>
      <c r="S25" s="468"/>
      <c r="T25" s="79"/>
      <c r="U25" s="79"/>
    </row>
    <row r="26" customFormat="false" ht="14.25" hidden="false" customHeight="true" outlineLevel="0" collapsed="false">
      <c r="Q26" s="467"/>
      <c r="R26" s="467"/>
      <c r="S26" s="212"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
      <c r="U26" s="212"/>
      <c r="V26" s="212"/>
      <c r="W26" s="212"/>
      <c r="X26" s="212"/>
      <c r="Y26" s="212"/>
      <c r="Z26" s="212"/>
      <c r="AA26" s="212"/>
      <c r="AB26" s="212"/>
      <c r="AC26" s="212"/>
      <c r="AD26" s="212"/>
      <c r="AE26" s="212"/>
      <c r="AF26" s="212"/>
      <c r="AG26" s="212"/>
      <c r="AH26" s="212"/>
      <c r="AI26" s="212"/>
      <c r="AJ26" s="212"/>
      <c r="AK26" s="214"/>
    </row>
    <row r="27" customFormat="false" ht="14.25" hidden="false" customHeight="true" outlineLevel="0" collapsed="false">
      <c r="Q27" s="467"/>
      <c r="R27" s="467"/>
      <c r="S27" s="265" t="str">
        <f aca="false">IF(org=0,"Не определено",org)</f>
        <v>ООО "Газпром теплоэнерго Ярославль"</v>
      </c>
      <c r="T27" s="265"/>
      <c r="U27" s="265"/>
      <c r="V27" s="265"/>
      <c r="W27" s="265"/>
      <c r="X27" s="265"/>
      <c r="Y27" s="265"/>
      <c r="Z27" s="265"/>
      <c r="AA27" s="265"/>
      <c r="AB27" s="265"/>
      <c r="AC27" s="265"/>
      <c r="AD27" s="265"/>
      <c r="AE27" s="265"/>
      <c r="AF27" s="265"/>
      <c r="AG27" s="265"/>
      <c r="AH27" s="265"/>
      <c r="AI27" s="265"/>
      <c r="AJ27" s="265"/>
      <c r="AK27" s="214"/>
    </row>
    <row r="28" customFormat="false" ht="14.25" hidden="false" customHeight="true" outlineLevel="0" collapsed="false">
      <c r="Q28" s="467"/>
      <c r="R28" s="467"/>
      <c r="S28" s="468"/>
      <c r="T28" s="79"/>
      <c r="U28" s="79"/>
      <c r="V28" s="469"/>
      <c r="W28" s="469"/>
      <c r="X28" s="469"/>
      <c r="Y28" s="469"/>
      <c r="Z28" s="469"/>
      <c r="AA28" s="469"/>
      <c r="AB28" s="469"/>
      <c r="AC28" s="469"/>
      <c r="AD28" s="469"/>
      <c r="AE28" s="469"/>
      <c r="AF28" s="469"/>
      <c r="AG28" s="469"/>
      <c r="AH28" s="469"/>
      <c r="AI28" s="469"/>
      <c r="AJ28" s="469"/>
      <c r="AK28" s="469"/>
    </row>
    <row r="29" s="174" customFormat="true" ht="25.5" hidden="false" customHeight="true" outlineLevel="0" collapsed="false">
      <c r="A29" s="139"/>
      <c r="B29" s="139"/>
      <c r="C29" s="139"/>
      <c r="D29" s="139"/>
      <c r="E29" s="139"/>
      <c r="F29" s="139"/>
      <c r="G29" s="139"/>
      <c r="H29" s="139"/>
      <c r="I29" s="139"/>
      <c r="J29" s="139"/>
      <c r="K29" s="139"/>
      <c r="L29" s="417"/>
      <c r="M29" s="139"/>
      <c r="N29" s="139"/>
      <c r="O29" s="139"/>
      <c r="S29" s="470" t="s">
        <v>37</v>
      </c>
      <c r="T29" s="470"/>
      <c r="U29" s="471"/>
      <c r="V29" s="472" t="str">
        <f aca="false">IF(TITLE_NAME_OR_PR_CHANGE="",IF(TITLE_NAME_OR_PR="","",TITLE_NAME_OR_PR),TITLE_NAME_OR_PR_CHANGE)</f>
        <v>Министерство тарифного регулирования Ярославской области</v>
      </c>
      <c r="W29" s="472"/>
      <c r="X29" s="472"/>
      <c r="Y29" s="472"/>
      <c r="Z29" s="472"/>
      <c r="AA29" s="472"/>
      <c r="AB29" s="472"/>
      <c r="AC29" s="42"/>
      <c r="AD29" s="472" t="str">
        <f aca="false">IF(TITLE_NAME_OR_PR_CHANGE="",IF(TITLE_NAME_OR_PR="","",TITLE_NAME_OR_PR),TITLE_NAME_OR_PR_CHANGE)</f>
        <v>Министерство тарифного регулирования Ярославской области</v>
      </c>
      <c r="AE29" s="472"/>
      <c r="AF29" s="472"/>
      <c r="AG29" s="472"/>
      <c r="AH29" s="472"/>
      <c r="AI29" s="472"/>
      <c r="AJ29" s="472"/>
      <c r="AK29" s="42"/>
      <c r="AL29" s="42"/>
      <c r="AM29" s="473"/>
      <c r="AN29" s="117"/>
      <c r="AO29" s="117"/>
      <c r="AP29" s="117"/>
      <c r="AQ29" s="117"/>
      <c r="AR29" s="117"/>
    </row>
    <row r="30" s="174" customFormat="true" ht="18.75" hidden="false" customHeight="true" outlineLevel="0" collapsed="false">
      <c r="A30" s="139"/>
      <c r="B30" s="139"/>
      <c r="C30" s="139"/>
      <c r="D30" s="139"/>
      <c r="E30" s="139"/>
      <c r="F30" s="139"/>
      <c r="G30" s="139"/>
      <c r="H30" s="139"/>
      <c r="I30" s="139"/>
      <c r="J30" s="139"/>
      <c r="K30" s="139"/>
      <c r="L30" s="417"/>
      <c r="M30" s="139"/>
      <c r="N30" s="139"/>
      <c r="O30" s="139"/>
      <c r="S30" s="470" t="s">
        <v>437</v>
      </c>
      <c r="T30" s="470"/>
      <c r="U30" s="471"/>
      <c r="V30" s="474" t="str">
        <f aca="false">IF(TITLE_DATE_PR_CHANGE="",IF(TITLE_DATE_PR="","",TITLE_DATE_PR),TITLE_DATE_PR_CHANGE)</f>
        <v>45279.46460648148</v>
      </c>
      <c r="W30" s="474"/>
      <c r="X30" s="474"/>
      <c r="Y30" s="474"/>
      <c r="Z30" s="474"/>
      <c r="AA30" s="474"/>
      <c r="AB30" s="474"/>
      <c r="AC30" s="42"/>
      <c r="AD30" s="474" t="str">
        <f aca="false">IF(TITLE_DATE_PR_CHANGE="",IF(TITLE_DATE_PR="","",TITLE_DATE_PR),TITLE_DATE_PR_CHANGE)</f>
        <v>45279.46460648148</v>
      </c>
      <c r="AE30" s="474"/>
      <c r="AF30" s="474"/>
      <c r="AG30" s="474"/>
      <c r="AH30" s="474"/>
      <c r="AI30" s="474"/>
      <c r="AJ30" s="474"/>
      <c r="AK30" s="42"/>
      <c r="AL30" s="42"/>
      <c r="AM30" s="473"/>
      <c r="AN30" s="117"/>
      <c r="AO30" s="117"/>
      <c r="AP30" s="117"/>
      <c r="AQ30" s="117"/>
      <c r="AR30" s="117"/>
    </row>
    <row r="31" s="174" customFormat="true" ht="18.75" hidden="false" customHeight="true" outlineLevel="0" collapsed="false">
      <c r="A31" s="139"/>
      <c r="B31" s="139"/>
      <c r="C31" s="139"/>
      <c r="D31" s="139"/>
      <c r="E31" s="139"/>
      <c r="F31" s="139"/>
      <c r="G31" s="139"/>
      <c r="H31" s="139"/>
      <c r="I31" s="139"/>
      <c r="J31" s="139"/>
      <c r="K31" s="139"/>
      <c r="L31" s="417"/>
      <c r="M31" s="139"/>
      <c r="N31" s="139"/>
      <c r="O31" s="139"/>
      <c r="S31" s="470" t="s">
        <v>438</v>
      </c>
      <c r="T31" s="470"/>
      <c r="U31" s="471"/>
      <c r="V31" s="472" t="str">
        <f aca="false">IF(TITLE_NUMBER_PR_CHANGE="",IF(TITLE_NUMBER_PR="","",TITLE_NUMBER_PR),TITLE_NUMBER_PR_CHANGE)</f>
        <v>403-гвс, 404-гвс, 406-гвс</v>
      </c>
      <c r="W31" s="472"/>
      <c r="X31" s="472"/>
      <c r="Y31" s="472"/>
      <c r="Z31" s="472"/>
      <c r="AA31" s="472"/>
      <c r="AB31" s="472"/>
      <c r="AC31" s="42"/>
      <c r="AD31" s="472" t="str">
        <f aca="false">IF(TITLE_NUMBER_PR_CHANGE="",IF(TITLE_NUMBER_PR="","",TITLE_NUMBER_PR),TITLE_NUMBER_PR_CHANGE)</f>
        <v>403-гвс, 404-гвс, 406-гвс</v>
      </c>
      <c r="AE31" s="472"/>
      <c r="AF31" s="472"/>
      <c r="AG31" s="472"/>
      <c r="AH31" s="472"/>
      <c r="AI31" s="472"/>
      <c r="AJ31" s="472"/>
      <c r="AK31" s="42"/>
      <c r="AL31" s="42"/>
      <c r="AM31" s="473"/>
      <c r="AN31" s="117"/>
      <c r="AO31" s="117"/>
      <c r="AP31" s="117"/>
      <c r="AQ31" s="117"/>
      <c r="AR31" s="117"/>
    </row>
    <row r="32" s="174" customFormat="true" ht="18.75" hidden="false" customHeight="true" outlineLevel="0" collapsed="false">
      <c r="A32" s="139"/>
      <c r="B32" s="139"/>
      <c r="C32" s="139"/>
      <c r="D32" s="139"/>
      <c r="E32" s="139"/>
      <c r="F32" s="139"/>
      <c r="G32" s="139"/>
      <c r="H32" s="139"/>
      <c r="I32" s="139"/>
      <c r="J32" s="139"/>
      <c r="K32" s="139"/>
      <c r="L32" s="417"/>
      <c r="M32" s="139"/>
      <c r="N32" s="139"/>
      <c r="O32" s="139"/>
      <c r="S32" s="470" t="s">
        <v>39</v>
      </c>
      <c r="T32" s="470"/>
      <c r="U32" s="471"/>
      <c r="V32" s="472" t="str">
        <f aca="false">IF(TITLE_IST_PUB_CHANGE="",IF(TITLE_IST_PUB="","",TITLE_IST_PUB),TITLE_IST_PUB_CHANGE)</f>
        <v>официальный интернет- портал правовой информации www.pravo.gov.ru</v>
      </c>
      <c r="W32" s="472"/>
      <c r="X32" s="472"/>
      <c r="Y32" s="472"/>
      <c r="Z32" s="472"/>
      <c r="AA32" s="472"/>
      <c r="AB32" s="472"/>
      <c r="AC32" s="42"/>
      <c r="AD32" s="472" t="str">
        <f aca="false">IF(TITLE_IST_PUB_CHANGE="",IF(TITLE_IST_PUB="","",TITLE_IST_PUB),TITLE_IST_PUB_CHANGE)</f>
        <v>официальный интернет- портал правовой информации www.pravo.gov.ru</v>
      </c>
      <c r="AE32" s="472"/>
      <c r="AF32" s="472"/>
      <c r="AG32" s="472"/>
      <c r="AH32" s="472"/>
      <c r="AI32" s="472"/>
      <c r="AJ32" s="472"/>
      <c r="AK32" s="42"/>
      <c r="AL32" s="42"/>
      <c r="AM32" s="473"/>
      <c r="AN32" s="117"/>
      <c r="AO32" s="117"/>
      <c r="AP32" s="117"/>
      <c r="AQ32" s="117"/>
      <c r="AR32" s="117"/>
    </row>
    <row r="33" customFormat="false" ht="14.25" hidden="true" customHeight="true" outlineLevel="0" collapsed="false">
      <c r="Q33" s="467"/>
      <c r="R33" s="467"/>
      <c r="S33" s="468"/>
      <c r="T33" s="79"/>
      <c r="U33" s="79"/>
      <c r="V33" s="469"/>
      <c r="W33" s="469"/>
      <c r="X33" s="469"/>
      <c r="Y33" s="469"/>
      <c r="Z33" s="469"/>
      <c r="AA33" s="469"/>
      <c r="AB33" s="469"/>
      <c r="AC33" s="469"/>
      <c r="AD33" s="469"/>
      <c r="AE33" s="469"/>
      <c r="AF33" s="469"/>
      <c r="AG33" s="469"/>
      <c r="AH33" s="469"/>
      <c r="AI33" s="469"/>
      <c r="AJ33" s="469"/>
      <c r="AK33" s="469"/>
    </row>
    <row r="34" s="174" customFormat="true" ht="18.75" hidden="true" customHeight="true" outlineLevel="0" collapsed="false">
      <c r="A34" s="139"/>
      <c r="B34" s="139"/>
      <c r="C34" s="139"/>
      <c r="D34" s="139"/>
      <c r="E34" s="139"/>
      <c r="F34" s="139"/>
      <c r="G34" s="139"/>
      <c r="H34" s="139"/>
      <c r="I34" s="139"/>
      <c r="J34" s="139"/>
      <c r="K34" s="139"/>
      <c r="L34" s="417"/>
      <c r="M34" s="139"/>
      <c r="N34" s="139"/>
      <c r="O34" s="139"/>
      <c r="S34" s="470" t="s">
        <v>439</v>
      </c>
      <c r="T34" s="470"/>
      <c r="U34" s="471"/>
      <c r="V34" s="474" t="str">
        <f aca="false">IF(TITLE_DATE_PR_CHANGE="",IF(TITLE_DATE_PR="","",TITLE_DATE_PR),TITLE_DATE_PR_CHANGE)</f>
        <v>45279.46460648148</v>
      </c>
      <c r="W34" s="474"/>
      <c r="X34" s="474"/>
      <c r="Y34" s="474"/>
      <c r="Z34" s="474"/>
      <c r="AA34" s="474"/>
      <c r="AB34" s="474"/>
      <c r="AC34" s="42"/>
      <c r="AD34" s="474" t="str">
        <f aca="false">IF(TITLE_DATE_PR_CHANGE="",IF(TITLE_DATE_PR="","",TITLE_DATE_PR),TITLE_DATE_PR_CHANGE)</f>
        <v>45279.46460648148</v>
      </c>
      <c r="AE34" s="474"/>
      <c r="AF34" s="474"/>
      <c r="AG34" s="474"/>
      <c r="AH34" s="474"/>
      <c r="AI34" s="474"/>
      <c r="AJ34" s="474"/>
      <c r="AK34" s="42"/>
      <c r="AL34" s="42"/>
      <c r="AM34" s="473"/>
      <c r="AN34" s="117"/>
      <c r="AO34" s="117"/>
      <c r="AP34" s="117"/>
      <c r="AQ34" s="117"/>
      <c r="AR34" s="117"/>
    </row>
    <row r="35" s="174" customFormat="true" ht="18.75" hidden="true" customHeight="true" outlineLevel="0" collapsed="false">
      <c r="A35" s="139"/>
      <c r="B35" s="139"/>
      <c r="C35" s="139"/>
      <c r="D35" s="139"/>
      <c r="E35" s="139"/>
      <c r="F35" s="139"/>
      <c r="G35" s="139"/>
      <c r="H35" s="139"/>
      <c r="I35" s="139"/>
      <c r="J35" s="139"/>
      <c r="K35" s="139"/>
      <c r="L35" s="417"/>
      <c r="M35" s="139"/>
      <c r="N35" s="139"/>
      <c r="O35" s="139"/>
      <c r="S35" s="470" t="s">
        <v>440</v>
      </c>
      <c r="T35" s="470"/>
      <c r="U35" s="471"/>
      <c r="V35" s="472" t="str">
        <f aca="false">IF(TITLE_NUMBER_PR_CHANGE="",IF(TITLE_NUMBER_PR="","",TITLE_NUMBER_PR),TITLE_NUMBER_PR_CHANGE)</f>
        <v>403-гвс, 404-гвс, 406-гвс</v>
      </c>
      <c r="W35" s="472"/>
      <c r="X35" s="472"/>
      <c r="Y35" s="472"/>
      <c r="Z35" s="472"/>
      <c r="AA35" s="472"/>
      <c r="AB35" s="472"/>
      <c r="AC35" s="42"/>
      <c r="AD35" s="472" t="str">
        <f aca="false">IF(TITLE_NUMBER_PR_CHANGE="",IF(TITLE_NUMBER_PR="","",TITLE_NUMBER_PR),TITLE_NUMBER_PR_CHANGE)</f>
        <v>403-гвс, 404-гвс, 406-гвс</v>
      </c>
      <c r="AE35" s="472"/>
      <c r="AF35" s="472"/>
      <c r="AG35" s="472"/>
      <c r="AH35" s="472"/>
      <c r="AI35" s="472"/>
      <c r="AJ35" s="472"/>
      <c r="AK35" s="42"/>
      <c r="AL35" s="42"/>
      <c r="AM35" s="473"/>
      <c r="AN35" s="117"/>
      <c r="AO35" s="117"/>
      <c r="AP35" s="117"/>
      <c r="AQ35" s="117"/>
      <c r="AR35" s="117"/>
    </row>
    <row r="36" s="174" customFormat="true" ht="12.8" hidden="false" customHeight="false" outlineLevel="0" collapsed="false">
      <c r="A36" s="139"/>
      <c r="B36" s="139"/>
      <c r="C36" s="139"/>
      <c r="D36" s="139"/>
      <c r="E36" s="139"/>
      <c r="F36" s="139"/>
      <c r="G36" s="139"/>
      <c r="H36" s="139"/>
      <c r="I36" s="139"/>
      <c r="J36" s="139"/>
      <c r="K36" s="139"/>
      <c r="L36" s="417"/>
      <c r="M36" s="139"/>
      <c r="N36" s="139"/>
      <c r="O36" s="139"/>
      <c r="S36" s="42"/>
      <c r="T36" s="42"/>
      <c r="U36" s="127"/>
      <c r="V36" s="42"/>
      <c r="W36" s="42"/>
      <c r="X36" s="42"/>
      <c r="Y36" s="42"/>
      <c r="Z36" s="42"/>
      <c r="AA36" s="42"/>
      <c r="AB36" s="42"/>
      <c r="AC36" s="47" t="s">
        <v>441</v>
      </c>
      <c r="AD36" s="42"/>
      <c r="AE36" s="42"/>
      <c r="AF36" s="42"/>
      <c r="AG36" s="42"/>
      <c r="AH36" s="42"/>
      <c r="AI36" s="42"/>
      <c r="AJ36" s="42"/>
      <c r="AK36" s="47" t="s">
        <v>441</v>
      </c>
      <c r="AN36" s="117"/>
      <c r="AO36" s="117"/>
      <c r="AP36" s="117"/>
      <c r="AQ36" s="117"/>
      <c r="AR36" s="117"/>
    </row>
    <row r="37" customFormat="false" ht="14.25" hidden="false" customHeight="true" outlineLevel="0" collapsed="false">
      <c r="Q37" s="467"/>
      <c r="R37" s="467"/>
      <c r="S37" s="468"/>
      <c r="T37" s="79"/>
      <c r="U37" s="475"/>
      <c r="V37" s="476"/>
      <c r="W37" s="476"/>
      <c r="X37" s="476"/>
      <c r="Y37" s="476"/>
      <c r="Z37" s="476"/>
      <c r="AA37" s="476"/>
      <c r="AB37" s="476"/>
      <c r="AC37" s="476"/>
      <c r="AD37" s="476"/>
      <c r="AE37" s="476"/>
      <c r="AF37" s="476"/>
      <c r="AG37" s="476"/>
      <c r="AH37" s="476"/>
      <c r="AI37" s="476"/>
      <c r="AJ37" s="476"/>
      <c r="AK37" s="476"/>
    </row>
    <row r="38" customFormat="false" ht="14.25" hidden="false" customHeight="true" outlineLevel="0" collapsed="false">
      <c r="Q38" s="467"/>
      <c r="R38" s="467"/>
      <c r="S38" s="133" t="s">
        <v>316</v>
      </c>
      <c r="T38" s="133"/>
      <c r="U38" s="133"/>
      <c r="V38" s="133"/>
      <c r="W38" s="133"/>
      <c r="X38" s="133"/>
      <c r="Y38" s="133"/>
      <c r="Z38" s="133"/>
      <c r="AA38" s="133"/>
      <c r="AB38" s="133"/>
      <c r="AC38" s="133"/>
      <c r="AD38" s="133"/>
      <c r="AE38" s="133"/>
      <c r="AF38" s="133"/>
      <c r="AG38" s="133"/>
      <c r="AH38" s="133"/>
      <c r="AI38" s="133"/>
      <c r="AJ38" s="133"/>
      <c r="AK38" s="133"/>
      <c r="AL38" s="133"/>
      <c r="AM38" s="133" t="s">
        <v>317</v>
      </c>
    </row>
    <row r="39" customFormat="false" ht="14.25" hidden="false" customHeight="true" outlineLevel="0" collapsed="false">
      <c r="Q39" s="467"/>
      <c r="R39" s="467"/>
      <c r="S39" s="477" t="s">
        <v>84</v>
      </c>
      <c r="T39" s="394" t="s">
        <v>442</v>
      </c>
      <c r="U39" s="478"/>
      <c r="V39" s="300" t="s">
        <v>443</v>
      </c>
      <c r="W39" s="300"/>
      <c r="X39" s="300"/>
      <c r="Y39" s="300"/>
      <c r="Z39" s="300"/>
      <c r="AA39" s="300"/>
      <c r="AB39" s="300"/>
      <c r="AC39" s="394" t="s">
        <v>444</v>
      </c>
      <c r="AD39" s="300" t="s">
        <v>443</v>
      </c>
      <c r="AE39" s="300"/>
      <c r="AF39" s="300"/>
      <c r="AG39" s="300"/>
      <c r="AH39" s="300"/>
      <c r="AI39" s="300"/>
      <c r="AJ39" s="300"/>
      <c r="AK39" s="394" t="s">
        <v>445</v>
      </c>
      <c r="AL39" s="479" t="s">
        <v>446</v>
      </c>
      <c r="AM39" s="133"/>
    </row>
    <row r="40" customFormat="false" ht="33.75" hidden="false" customHeight="true" outlineLevel="0" collapsed="false">
      <c r="Q40" s="467"/>
      <c r="R40" s="467"/>
      <c r="S40" s="477"/>
      <c r="T40" s="394"/>
      <c r="U40" s="480"/>
      <c r="V40" s="133" t="s">
        <v>447</v>
      </c>
      <c r="W40" s="431" t="s">
        <v>448</v>
      </c>
      <c r="X40" s="133" t="s">
        <v>449</v>
      </c>
      <c r="Y40" s="133"/>
      <c r="Z40" s="133" t="s">
        <v>450</v>
      </c>
      <c r="AA40" s="133"/>
      <c r="AB40" s="133"/>
      <c r="AC40" s="394"/>
      <c r="AD40" s="133" t="s">
        <v>447</v>
      </c>
      <c r="AE40" s="431" t="s">
        <v>448</v>
      </c>
      <c r="AF40" s="133" t="s">
        <v>449</v>
      </c>
      <c r="AG40" s="133"/>
      <c r="AH40" s="133" t="s">
        <v>450</v>
      </c>
      <c r="AI40" s="133"/>
      <c r="AJ40" s="133"/>
      <c r="AK40" s="394"/>
      <c r="AL40" s="479"/>
      <c r="AM40" s="133"/>
    </row>
    <row r="41" customFormat="false" ht="33.75" hidden="false" customHeight="true" outlineLevel="0" collapsed="false">
      <c r="A41" s="139"/>
      <c r="B41" s="139" t="s">
        <v>142</v>
      </c>
      <c r="C41" s="139" t="s">
        <v>143</v>
      </c>
      <c r="D41" s="139" t="s">
        <v>144</v>
      </c>
      <c r="E41" s="417" t="s">
        <v>451</v>
      </c>
      <c r="F41" s="417" t="s">
        <v>452</v>
      </c>
      <c r="G41" s="417" t="s">
        <v>453</v>
      </c>
      <c r="H41" s="417" t="s">
        <v>454</v>
      </c>
      <c r="I41" s="417" t="s">
        <v>455</v>
      </c>
      <c r="J41" s="417" t="s">
        <v>456</v>
      </c>
      <c r="K41" s="417" t="s">
        <v>457</v>
      </c>
      <c r="L41" s="417" t="s">
        <v>432</v>
      </c>
      <c r="Q41" s="467"/>
      <c r="R41" s="467"/>
      <c r="S41" s="477"/>
      <c r="T41" s="394"/>
      <c r="U41" s="481"/>
      <c r="V41" s="133"/>
      <c r="W41" s="431"/>
      <c r="X41" s="184" t="s">
        <v>458</v>
      </c>
      <c r="Y41" s="184" t="s">
        <v>459</v>
      </c>
      <c r="Z41" s="184" t="s">
        <v>460</v>
      </c>
      <c r="AA41" s="184" t="s">
        <v>461</v>
      </c>
      <c r="AB41" s="184"/>
      <c r="AC41" s="394"/>
      <c r="AD41" s="133"/>
      <c r="AE41" s="431"/>
      <c r="AF41" s="184" t="s">
        <v>458</v>
      </c>
      <c r="AG41" s="184" t="s">
        <v>459</v>
      </c>
      <c r="AH41" s="184" t="s">
        <v>460</v>
      </c>
      <c r="AI41" s="184" t="s">
        <v>461</v>
      </c>
      <c r="AJ41" s="184"/>
      <c r="AK41" s="394"/>
      <c r="AL41" s="479"/>
      <c r="AM41" s="133"/>
    </row>
    <row r="42" s="119" customFormat="true" ht="11.25" hidden="true" customHeight="true" outlineLevel="0" collapsed="false">
      <c r="A42" s="139"/>
      <c r="B42" s="139"/>
      <c r="C42" s="139"/>
      <c r="D42" s="139"/>
      <c r="E42" s="139"/>
      <c r="F42" s="139"/>
      <c r="G42" s="139"/>
      <c r="H42" s="139"/>
      <c r="I42" s="139"/>
      <c r="J42" s="139"/>
      <c r="K42" s="139"/>
      <c r="L42" s="417"/>
      <c r="M42" s="51"/>
      <c r="N42" s="51"/>
      <c r="O42" s="51"/>
      <c r="P42" s="482"/>
      <c r="Q42" s="483"/>
      <c r="R42" s="484" t="n">
        <v>1</v>
      </c>
      <c r="S42" s="485" t="s">
        <v>117</v>
      </c>
      <c r="T42" s="486" t="s">
        <v>99</v>
      </c>
      <c r="U42" s="487" t="str">
        <f aca="true">OFFSET(U42,0,-1)</f>
        <v>2</v>
      </c>
      <c r="V42" s="488" t="n">
        <f aca="true">OFFSET(V42,0,-1)+1</f>
        <v>3</v>
      </c>
      <c r="W42" s="488"/>
      <c r="X42" s="488" t="n">
        <f aca="true">OFFSET(X42,0,-1)+1</f>
        <v>1</v>
      </c>
      <c r="Y42" s="488" t="n">
        <f aca="true">OFFSET(Y42,0,-1)+1</f>
        <v>2</v>
      </c>
      <c r="Z42" s="488" t="n">
        <f aca="true">OFFSET(Z42,0,-1)+1</f>
        <v>3</v>
      </c>
      <c r="AA42" s="488" t="n">
        <f aca="true">OFFSET(AA42,0,-1)+1</f>
        <v>4</v>
      </c>
      <c r="AB42" s="488"/>
      <c r="AC42" s="488" t="n">
        <f aca="true">OFFSET(AC42,0,-2)+1</f>
        <v>5</v>
      </c>
      <c r="AD42" s="488" t="n">
        <f aca="true">OFFSET(AD42,0,-1)+1</f>
        <v>6</v>
      </c>
      <c r="AE42" s="488"/>
      <c r="AF42" s="488" t="n">
        <f aca="true">OFFSET(AF42,0,-1)+1</f>
        <v>1</v>
      </c>
      <c r="AG42" s="488" t="n">
        <f aca="true">OFFSET(AG42,0,-1)+1</f>
        <v>2</v>
      </c>
      <c r="AH42" s="488" t="n">
        <f aca="true">OFFSET(AH42,0,-1)+1</f>
        <v>3</v>
      </c>
      <c r="AI42" s="488" t="n">
        <f aca="true">OFFSET(AI42,0,-1)+1</f>
        <v>4</v>
      </c>
      <c r="AJ42" s="488"/>
      <c r="AK42" s="488" t="n">
        <f aca="true">OFFSET(AK42,0,-2)+1</f>
        <v>5</v>
      </c>
      <c r="AL42" s="487" t="n">
        <f aca="true">OFFSET(AL42,0,-1)</f>
        <v>5</v>
      </c>
      <c r="AM42" s="488" t="n">
        <f aca="true">OFFSET(AM42,0,-1)+1</f>
        <v>6</v>
      </c>
      <c r="AN42" s="47"/>
      <c r="AO42" s="47"/>
      <c r="AP42" s="47"/>
      <c r="AQ42" s="47"/>
      <c r="AR42" s="47"/>
    </row>
    <row r="43" customFormat="false" ht="23.25" hidden="false" customHeight="true" outlineLevel="0" collapsed="false">
      <c r="A43" s="415" t="s">
        <v>163</v>
      </c>
      <c r="B43" s="415"/>
      <c r="C43" s="415"/>
      <c r="D43" s="415"/>
      <c r="E43" s="416" t="n">
        <v>1</v>
      </c>
      <c r="F43" s="415"/>
      <c r="G43" s="415"/>
      <c r="H43" s="415"/>
      <c r="I43" s="415"/>
      <c r="J43" s="415"/>
      <c r="K43" s="415"/>
      <c r="L43" s="417"/>
      <c r="M43" s="40"/>
      <c r="N43" s="40"/>
      <c r="O43" s="40"/>
      <c r="Q43" s="131"/>
      <c r="R43" s="418"/>
      <c r="S43" s="419" t="n">
        <f aca="false">INDEX(PT_DIFFERENTIATION_NUM_NTAR,MATCH(A43,PT_DIFFERENTIATION_NTAR_ID,0))</f>
        <v>0</v>
      </c>
      <c r="T43" s="420" t="s">
        <v>130</v>
      </c>
      <c r="U43" s="421"/>
      <c r="V43" s="422"/>
      <c r="W43" s="422"/>
      <c r="X43" s="422"/>
      <c r="Y43" s="422"/>
      <c r="Z43" s="422"/>
      <c r="AA43" s="422"/>
      <c r="AB43" s="422"/>
      <c r="AC43" s="422"/>
      <c r="AD43" s="423" t="str">
        <f aca="false">INDEX(PT_DIFFERENTIATION_NTAR,MATCH(A43,PT_DIFFERENTIATION_NTAR_ID,0))</f>
        <v/>
      </c>
      <c r="AE43" s="423"/>
      <c r="AF43" s="423"/>
      <c r="AG43" s="423"/>
      <c r="AH43" s="423"/>
      <c r="AI43" s="423"/>
      <c r="AJ43" s="423"/>
      <c r="AK43" s="423"/>
      <c r="AL43" s="423"/>
      <c r="AM43" s="424"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7"/>
      <c r="AP43" s="117" t="str">
        <f aca="false">IF(T43="","",T43)</f>
        <v>Наименование тарифа</v>
      </c>
      <c r="AQ43" s="117"/>
      <c r="AR43" s="117"/>
    </row>
    <row r="44" customFormat="false" ht="23.25" hidden="false" customHeight="true" outlineLevel="0" collapsed="false">
      <c r="A44" s="415" t="s">
        <v>163</v>
      </c>
      <c r="B44" s="415" t="s">
        <v>164</v>
      </c>
      <c r="C44" s="415"/>
      <c r="D44" s="415"/>
      <c r="E44" s="416"/>
      <c r="F44" s="416" t="n">
        <v>1</v>
      </c>
      <c r="G44" s="415"/>
      <c r="H44" s="415"/>
      <c r="I44" s="415"/>
      <c r="J44" s="415"/>
      <c r="K44" s="415"/>
      <c r="L44" s="417"/>
      <c r="M44" s="40"/>
      <c r="N44" s="40"/>
      <c r="O44" s="40"/>
      <c r="P44" s="43"/>
      <c r="Q44" s="425"/>
      <c r="R44" s="426"/>
      <c r="S44" s="419" t="str">
        <f aca="false">INDEX(PT_DIFFERENTIATION_NUM_TER,MATCH(B44,PT_DIFFERENTIATION_TER_ID,0))</f>
        <v>.</v>
      </c>
      <c r="T44" s="427" t="s">
        <v>413</v>
      </c>
      <c r="U44" s="421"/>
      <c r="V44" s="422"/>
      <c r="W44" s="422"/>
      <c r="X44" s="422"/>
      <c r="Y44" s="422"/>
      <c r="Z44" s="422"/>
      <c r="AA44" s="422"/>
      <c r="AB44" s="422"/>
      <c r="AC44" s="422"/>
      <c r="AD44" s="423" t="str">
        <f aca="false">INDEX(PT_DIFFERENTIATION_TER,MATCH(B44,PT_DIFFERENTIATION_TER_ID,0))</f>
        <v/>
      </c>
      <c r="AE44" s="423"/>
      <c r="AF44" s="423"/>
      <c r="AG44" s="423"/>
      <c r="AH44" s="423"/>
      <c r="AI44" s="423"/>
      <c r="AJ44" s="423"/>
      <c r="AK44" s="423"/>
      <c r="AL44" s="423"/>
      <c r="AM44" s="424" t="s">
        <v>414</v>
      </c>
      <c r="AO44" s="117"/>
      <c r="AP44" s="117" t="str">
        <f aca="false">IF(T44="","",T44)</f>
        <v>Территория действия тарифа</v>
      </c>
      <c r="AQ44" s="117"/>
      <c r="AR44" s="117"/>
    </row>
    <row r="45" customFormat="false" ht="23.25" hidden="false" customHeight="true" outlineLevel="0" collapsed="false">
      <c r="A45" s="415" t="s">
        <v>163</v>
      </c>
      <c r="B45" s="415" t="s">
        <v>164</v>
      </c>
      <c r="C45" s="415" t="s">
        <v>165</v>
      </c>
      <c r="D45" s="415"/>
      <c r="E45" s="416"/>
      <c r="F45" s="416"/>
      <c r="G45" s="416" t="n">
        <v>1</v>
      </c>
      <c r="H45" s="415"/>
      <c r="I45" s="415"/>
      <c r="J45" s="415"/>
      <c r="K45" s="415"/>
      <c r="L45" s="417"/>
      <c r="M45" s="40"/>
      <c r="N45" s="40"/>
      <c r="O45" s="40"/>
      <c r="P45" s="428"/>
      <c r="Q45" s="425"/>
      <c r="R45" s="426"/>
      <c r="S45" s="419" t="str">
        <f aca="false">INDEX(PT_DIFFERENTIATION_NUM_CS,MATCH(C45,PT_DIFFERENTIATION_CS_ID,0))</f>
        <v>..</v>
      </c>
      <c r="T45" s="429" t="s">
        <v>415</v>
      </c>
      <c r="U45" s="421"/>
      <c r="V45" s="422"/>
      <c r="W45" s="422"/>
      <c r="X45" s="422"/>
      <c r="Y45" s="422"/>
      <c r="Z45" s="422"/>
      <c r="AA45" s="422"/>
      <c r="AB45" s="422"/>
      <c r="AC45" s="422"/>
      <c r="AD45" s="423" t="str">
        <f aca="false">INDEX(PT_DIFFERENTIATION_CS,MATCH(C45,PT_DIFFERENTIATION_CS_ID,0))</f>
        <v/>
      </c>
      <c r="AE45" s="423"/>
      <c r="AF45" s="423"/>
      <c r="AG45" s="423"/>
      <c r="AH45" s="423"/>
      <c r="AI45" s="423"/>
      <c r="AJ45" s="423"/>
      <c r="AK45" s="423"/>
      <c r="AL45" s="423"/>
      <c r="AM45" s="424" t="s">
        <v>416</v>
      </c>
      <c r="AO45" s="117"/>
      <c r="AP45" s="117" t="str">
        <f aca="false">IF(T45="","",T45)</f>
        <v>Наименование системы теплоснабжения</v>
      </c>
      <c r="AQ45" s="117"/>
      <c r="AR45" s="117"/>
    </row>
    <row r="46" customFormat="false" ht="23.25" hidden="false" customHeight="true" outlineLevel="0" collapsed="false">
      <c r="A46" s="415" t="s">
        <v>163</v>
      </c>
      <c r="B46" s="415" t="s">
        <v>164</v>
      </c>
      <c r="C46" s="415" t="s">
        <v>165</v>
      </c>
      <c r="D46" s="415" t="s">
        <v>166</v>
      </c>
      <c r="E46" s="416"/>
      <c r="F46" s="416"/>
      <c r="G46" s="416"/>
      <c r="H46" s="416" t="n">
        <v>1</v>
      </c>
      <c r="I46" s="415"/>
      <c r="J46" s="415"/>
      <c r="K46" s="415"/>
      <c r="L46" s="417"/>
      <c r="M46" s="40"/>
      <c r="N46" s="40"/>
      <c r="O46" s="40"/>
      <c r="P46" s="428"/>
      <c r="Q46" s="425"/>
      <c r="R46" s="426"/>
      <c r="S46" s="419" t="str">
        <f aca="false">INDEX(PT_DIFFERENTIATION_NUM_IST_TE,MATCH(D46,PT_DIFFERENTIATION_IST_TE_ID,0))</f>
        <v>...</v>
      </c>
      <c r="T46" s="430" t="s">
        <v>417</v>
      </c>
      <c r="U46" s="421"/>
      <c r="V46" s="422"/>
      <c r="W46" s="422"/>
      <c r="X46" s="422"/>
      <c r="Y46" s="422"/>
      <c r="Z46" s="422"/>
      <c r="AA46" s="422"/>
      <c r="AB46" s="422"/>
      <c r="AC46" s="422"/>
      <c r="AD46" s="423" t="str">
        <f aca="false">INDEX(PT_DIFFERENTIATION_IST_TE,MATCH(D46,PT_DIFFERENTIATION_IST_TE_ID,0))</f>
        <v/>
      </c>
      <c r="AE46" s="423"/>
      <c r="AF46" s="423"/>
      <c r="AG46" s="423"/>
      <c r="AH46" s="423"/>
      <c r="AI46" s="423"/>
      <c r="AJ46" s="423"/>
      <c r="AK46" s="423"/>
      <c r="AL46" s="423"/>
      <c r="AM46" s="424" t="s">
        <v>418</v>
      </c>
      <c r="AO46" s="117"/>
      <c r="AP46" s="117" t="str">
        <f aca="false">IF(T46="","",T46)</f>
        <v>Источник тепловой энергии</v>
      </c>
      <c r="AQ46" s="117"/>
      <c r="AR46" s="117"/>
    </row>
    <row r="47" customFormat="false" ht="47.25" hidden="false" customHeight="true" outlineLevel="0" collapsed="false">
      <c r="A47" s="415" t="s">
        <v>163</v>
      </c>
      <c r="B47" s="415" t="s">
        <v>164</v>
      </c>
      <c r="C47" s="415" t="s">
        <v>165</v>
      </c>
      <c r="D47" s="415" t="s">
        <v>166</v>
      </c>
      <c r="E47" s="416"/>
      <c r="F47" s="416"/>
      <c r="G47" s="416"/>
      <c r="H47" s="416"/>
      <c r="I47" s="431" t="str">
        <f aca="false">S46&amp;".1"</f>
        <v>....1</v>
      </c>
      <c r="J47" s="415"/>
      <c r="K47" s="415"/>
      <c r="L47" s="417" t="s">
        <v>419</v>
      </c>
      <c r="P47" s="120" t="n">
        <v>1</v>
      </c>
      <c r="Q47" s="120"/>
      <c r="R47" s="432"/>
      <c r="S47" s="419" t="str">
        <f aca="false">$I47</f>
        <v>....1</v>
      </c>
      <c r="T47" s="433" t="s">
        <v>420</v>
      </c>
      <c r="U47" s="421"/>
      <c r="V47" s="434"/>
      <c r="W47" s="434"/>
      <c r="X47" s="434"/>
      <c r="Y47" s="434"/>
      <c r="Z47" s="434"/>
      <c r="AA47" s="434"/>
      <c r="AB47" s="434"/>
      <c r="AC47" s="434"/>
      <c r="AD47" s="434"/>
      <c r="AE47" s="434"/>
      <c r="AF47" s="434"/>
      <c r="AG47" s="434"/>
      <c r="AH47" s="434"/>
      <c r="AI47" s="434"/>
      <c r="AJ47" s="434"/>
      <c r="AK47" s="434"/>
      <c r="AL47" s="434"/>
      <c r="AM47" s="424" t="s">
        <v>421</v>
      </c>
      <c r="AO47" s="117"/>
      <c r="AP47" s="117" t="str">
        <f aca="false">IF(T47="","",T47)</f>
        <v>Схема подключения теплопотребляющей установки к коллектору источника тепловой энергии</v>
      </c>
      <c r="AQ47" s="117"/>
      <c r="AR47" s="117"/>
    </row>
    <row r="48" customFormat="false" ht="23.25" hidden="false" customHeight="true" outlineLevel="0" collapsed="false">
      <c r="A48" s="415" t="s">
        <v>163</v>
      </c>
      <c r="B48" s="415" t="s">
        <v>164</v>
      </c>
      <c r="C48" s="415" t="s">
        <v>165</v>
      </c>
      <c r="D48" s="415" t="s">
        <v>166</v>
      </c>
      <c r="E48" s="416"/>
      <c r="F48" s="416"/>
      <c r="G48" s="416"/>
      <c r="H48" s="416"/>
      <c r="I48" s="431"/>
      <c r="J48" s="431" t="str">
        <f aca="false">I47&amp;".1"</f>
        <v>....1.1</v>
      </c>
      <c r="K48" s="415"/>
      <c r="L48" s="417" t="s">
        <v>422</v>
      </c>
      <c r="P48" s="120"/>
      <c r="Q48" s="120" t="n">
        <v>1</v>
      </c>
      <c r="R48" s="435"/>
      <c r="S48" s="419" t="str">
        <f aca="false">$J48</f>
        <v>....1.1</v>
      </c>
      <c r="T48" s="436" t="s">
        <v>423</v>
      </c>
      <c r="U48" s="421"/>
      <c r="V48" s="434"/>
      <c r="W48" s="434"/>
      <c r="X48" s="434"/>
      <c r="Y48" s="434"/>
      <c r="Z48" s="434"/>
      <c r="AA48" s="434"/>
      <c r="AB48" s="434"/>
      <c r="AC48" s="434"/>
      <c r="AD48" s="434"/>
      <c r="AE48" s="434"/>
      <c r="AF48" s="434"/>
      <c r="AG48" s="434"/>
      <c r="AH48" s="434"/>
      <c r="AI48" s="434"/>
      <c r="AJ48" s="434"/>
      <c r="AK48" s="434"/>
      <c r="AL48" s="434"/>
      <c r="AM48" s="424" t="s">
        <v>424</v>
      </c>
      <c r="AO48" s="117"/>
      <c r="AP48" s="117" t="str">
        <f aca="false">IF(T48="","",T48)</f>
        <v>Группа потребителей</v>
      </c>
      <c r="AQ48" s="117"/>
      <c r="AR48" s="117"/>
    </row>
    <row r="49" customFormat="false" ht="23.25" hidden="false" customHeight="true" outlineLevel="0" collapsed="false">
      <c r="A49" s="415" t="s">
        <v>163</v>
      </c>
      <c r="B49" s="415" t="s">
        <v>164</v>
      </c>
      <c r="C49" s="415" t="s">
        <v>165</v>
      </c>
      <c r="D49" s="415" t="s">
        <v>166</v>
      </c>
      <c r="E49" s="416"/>
      <c r="F49" s="416"/>
      <c r="G49" s="416"/>
      <c r="H49" s="416"/>
      <c r="I49" s="431"/>
      <c r="J49" s="431"/>
      <c r="K49" s="431" t="str">
        <f aca="false">J48&amp;".1"</f>
        <v>....1.1.1</v>
      </c>
      <c r="L49" s="417" t="s">
        <v>425</v>
      </c>
      <c r="P49" s="120"/>
      <c r="Q49" s="120"/>
      <c r="R49" s="435" t="n">
        <v>1</v>
      </c>
      <c r="S49" s="419" t="str">
        <f aca="false">$K49</f>
        <v>....1.1.1</v>
      </c>
      <c r="T49" s="437"/>
      <c r="U49" s="421"/>
      <c r="V49" s="438"/>
      <c r="W49" s="439"/>
      <c r="X49" s="438"/>
      <c r="Y49" s="440"/>
      <c r="Z49" s="441"/>
      <c r="AA49" s="203" t="s">
        <v>63</v>
      </c>
      <c r="AB49" s="441"/>
      <c r="AC49" s="203" t="s">
        <v>63</v>
      </c>
      <c r="AD49" s="438"/>
      <c r="AE49" s="439"/>
      <c r="AF49" s="438"/>
      <c r="AG49" s="440"/>
      <c r="AH49" s="441"/>
      <c r="AI49" s="203" t="s">
        <v>63</v>
      </c>
      <c r="AJ49" s="441"/>
      <c r="AK49" s="203" t="s">
        <v>63</v>
      </c>
      <c r="AL49" s="489"/>
      <c r="AM49" s="442" t="s">
        <v>426</v>
      </c>
      <c r="AN49" s="47" t="e">
        <f aca="false">strcheckdate(V50:AL50)</f>
        <v>#NAME?</v>
      </c>
      <c r="AO49" s="117"/>
      <c r="AP49" s="117" t="str">
        <f aca="false">IF(T49="","",T49)</f>
        <v/>
      </c>
      <c r="AQ49" s="117"/>
      <c r="AR49" s="117"/>
    </row>
    <row r="50" customFormat="false" ht="0.75" hidden="false" customHeight="true" outlineLevel="0" collapsed="false">
      <c r="A50" s="415" t="s">
        <v>163</v>
      </c>
      <c r="B50" s="415" t="s">
        <v>164</v>
      </c>
      <c r="C50" s="415" t="s">
        <v>165</v>
      </c>
      <c r="D50" s="415" t="s">
        <v>166</v>
      </c>
      <c r="E50" s="416"/>
      <c r="F50" s="416"/>
      <c r="G50" s="416"/>
      <c r="H50" s="416"/>
      <c r="I50" s="431"/>
      <c r="J50" s="431"/>
      <c r="K50" s="431"/>
      <c r="L50" s="417"/>
      <c r="P50" s="120"/>
      <c r="Q50" s="120"/>
      <c r="R50" s="435"/>
      <c r="S50" s="396"/>
      <c r="T50" s="421"/>
      <c r="U50" s="421"/>
      <c r="V50" s="439"/>
      <c r="W50" s="439"/>
      <c r="X50" s="439"/>
      <c r="Y50" s="443" t="str">
        <f aca="false">Z49&amp;"-"&amp;AB49</f>
        <v>-</v>
      </c>
      <c r="Z50" s="441"/>
      <c r="AA50" s="203"/>
      <c r="AB50" s="441"/>
      <c r="AC50" s="203"/>
      <c r="AD50" s="439"/>
      <c r="AE50" s="439"/>
      <c r="AF50" s="439"/>
      <c r="AG50" s="443" t="str">
        <f aca="false">AH49&amp;"-"&amp;AJ49</f>
        <v>-</v>
      </c>
      <c r="AH50" s="441"/>
      <c r="AI50" s="203"/>
      <c r="AJ50" s="441"/>
      <c r="AK50" s="203"/>
      <c r="AL50" s="490"/>
      <c r="AM50" s="442"/>
      <c r="AO50" s="117"/>
      <c r="AP50" s="117" t="str">
        <f aca="false">IF(T50="","",T50)</f>
        <v/>
      </c>
      <c r="AQ50" s="117"/>
      <c r="AR50" s="117"/>
    </row>
    <row r="51" customFormat="false" ht="11.25" hidden="false" customHeight="true" outlineLevel="0" collapsed="false">
      <c r="A51" s="415" t="s">
        <v>163</v>
      </c>
      <c r="B51" s="415" t="s">
        <v>164</v>
      </c>
      <c r="C51" s="415" t="s">
        <v>165</v>
      </c>
      <c r="D51" s="415" t="s">
        <v>166</v>
      </c>
      <c r="E51" s="416"/>
      <c r="F51" s="416"/>
      <c r="G51" s="416"/>
      <c r="H51" s="416"/>
      <c r="I51" s="431"/>
      <c r="J51" s="431"/>
      <c r="K51" s="415"/>
      <c r="L51" s="417"/>
      <c r="P51" s="120"/>
      <c r="Q51" s="120"/>
      <c r="R51" s="432"/>
      <c r="S51" s="444"/>
      <c r="T51" s="445" t="s">
        <v>427</v>
      </c>
      <c r="U51" s="193"/>
      <c r="V51" s="193"/>
      <c r="W51" s="193"/>
      <c r="X51" s="193"/>
      <c r="Y51" s="193"/>
      <c r="Z51" s="193"/>
      <c r="AA51" s="193"/>
      <c r="AB51" s="193"/>
      <c r="AC51" s="193"/>
      <c r="AD51" s="193"/>
      <c r="AE51" s="193"/>
      <c r="AF51" s="193"/>
      <c r="AG51" s="193"/>
      <c r="AH51" s="193"/>
      <c r="AI51" s="193"/>
      <c r="AJ51" s="193"/>
      <c r="AK51" s="193"/>
      <c r="AL51" s="446"/>
      <c r="AM51" s="442"/>
      <c r="AO51" s="117"/>
      <c r="AP51" s="117" t="str">
        <f aca="false">IF(T51="","",T51)</f>
        <v>Добавить вид теплоносителя (параметры теплоносителя)</v>
      </c>
      <c r="AQ51" s="117"/>
      <c r="AR51" s="117"/>
    </row>
    <row r="52" customFormat="false" ht="11.25" hidden="false" customHeight="true" outlineLevel="0" collapsed="false">
      <c r="A52" s="415" t="s">
        <v>163</v>
      </c>
      <c r="B52" s="415" t="s">
        <v>164</v>
      </c>
      <c r="C52" s="415" t="s">
        <v>165</v>
      </c>
      <c r="D52" s="415" t="s">
        <v>166</v>
      </c>
      <c r="E52" s="416"/>
      <c r="F52" s="416"/>
      <c r="G52" s="416"/>
      <c r="H52" s="416"/>
      <c r="I52" s="431"/>
      <c r="J52" s="415"/>
      <c r="K52" s="415"/>
      <c r="L52" s="417"/>
      <c r="P52" s="120"/>
      <c r="Q52" s="120"/>
      <c r="R52" s="432"/>
      <c r="S52" s="444"/>
      <c r="T52" s="447" t="s">
        <v>428</v>
      </c>
      <c r="U52" s="193"/>
      <c r="V52" s="193"/>
      <c r="W52" s="193"/>
      <c r="X52" s="193"/>
      <c r="Y52" s="193"/>
      <c r="Z52" s="193"/>
      <c r="AA52" s="193"/>
      <c r="AB52" s="193"/>
      <c r="AC52" s="448"/>
      <c r="AD52" s="193"/>
      <c r="AE52" s="193"/>
      <c r="AF52" s="193"/>
      <c r="AG52" s="193"/>
      <c r="AH52" s="193"/>
      <c r="AI52" s="193"/>
      <c r="AJ52" s="193"/>
      <c r="AK52" s="448"/>
      <c r="AL52" s="193"/>
      <c r="AM52" s="449"/>
      <c r="AO52" s="117"/>
      <c r="AP52" s="117" t="str">
        <f aca="false">IF(T52="","",T52)</f>
        <v>Добавить группу потребителей</v>
      </c>
      <c r="AQ52" s="117"/>
      <c r="AR52" s="117"/>
    </row>
    <row r="53" customFormat="false" ht="14.25" hidden="false" customHeight="true" outlineLevel="0" collapsed="false">
      <c r="A53" s="415" t="s">
        <v>163</v>
      </c>
      <c r="B53" s="415" t="s">
        <v>164</v>
      </c>
      <c r="C53" s="415" t="s">
        <v>165</v>
      </c>
      <c r="D53" s="415" t="s">
        <v>166</v>
      </c>
      <c r="E53" s="416"/>
      <c r="F53" s="416"/>
      <c r="G53" s="416"/>
      <c r="H53" s="416"/>
      <c r="I53" s="415"/>
      <c r="J53" s="415"/>
      <c r="K53" s="415"/>
      <c r="L53" s="417"/>
      <c r="M53" s="40"/>
      <c r="N53" s="40"/>
      <c r="O53" s="45"/>
      <c r="P53" s="131"/>
      <c r="Q53" s="450"/>
      <c r="R53" s="418"/>
      <c r="S53" s="444"/>
      <c r="T53" s="451" t="s">
        <v>429</v>
      </c>
      <c r="U53" s="193"/>
      <c r="V53" s="193"/>
      <c r="W53" s="193"/>
      <c r="X53" s="193"/>
      <c r="Y53" s="193"/>
      <c r="Z53" s="193"/>
      <c r="AA53" s="193"/>
      <c r="AB53" s="193"/>
      <c r="AC53" s="448"/>
      <c r="AD53" s="193"/>
      <c r="AE53" s="193"/>
      <c r="AF53" s="193"/>
      <c r="AG53" s="193"/>
      <c r="AH53" s="193"/>
      <c r="AI53" s="193"/>
      <c r="AJ53" s="193"/>
      <c r="AK53" s="448"/>
      <c r="AL53" s="193"/>
      <c r="AM53" s="449"/>
      <c r="AO53" s="117"/>
      <c r="AP53" s="117" t="str">
        <f aca="false">IF(T53="","",T53)</f>
        <v>Добавить схему подключения</v>
      </c>
      <c r="AQ53" s="117"/>
      <c r="AR53" s="117"/>
    </row>
    <row r="54" s="47" customFormat="true" ht="0.75" hidden="false" customHeight="true" outlineLevel="0" collapsed="false">
      <c r="A54" s="121" t="s">
        <v>163</v>
      </c>
      <c r="B54" s="121" t="s">
        <v>164</v>
      </c>
      <c r="C54" s="121" t="s">
        <v>165</v>
      </c>
      <c r="D54" s="121"/>
      <c r="E54" s="416"/>
      <c r="F54" s="416"/>
      <c r="G54" s="416"/>
      <c r="H54" s="121"/>
      <c r="I54" s="121"/>
      <c r="J54" s="121"/>
      <c r="K54" s="121"/>
      <c r="L54" s="191"/>
      <c r="M54" s="46"/>
      <c r="N54" s="46"/>
      <c r="P54" s="155"/>
      <c r="Q54" s="452"/>
      <c r="R54" s="155"/>
      <c r="S54" s="457"/>
      <c r="T54" s="460" t="s">
        <v>430</v>
      </c>
      <c r="U54" s="459"/>
      <c r="V54" s="459"/>
      <c r="W54" s="459"/>
      <c r="X54" s="459"/>
      <c r="Y54" s="459"/>
      <c r="Z54" s="459"/>
      <c r="AA54" s="459"/>
      <c r="AB54" s="459"/>
      <c r="AC54" s="459"/>
      <c r="AD54" s="459"/>
      <c r="AE54" s="459"/>
      <c r="AF54" s="459"/>
      <c r="AG54" s="459"/>
      <c r="AH54" s="459"/>
      <c r="AI54" s="459"/>
      <c r="AJ54" s="459"/>
      <c r="AK54" s="459"/>
      <c r="AL54" s="459"/>
      <c r="AM54" s="459"/>
      <c r="AO54" s="117"/>
      <c r="AP54" s="117" t="str">
        <f aca="false">IF(T54="","",T54)</f>
        <v>Добавить источник для дифференциации</v>
      </c>
      <c r="AQ54" s="117"/>
      <c r="AR54" s="117"/>
    </row>
    <row r="55" s="47" customFormat="true" ht="0.75" hidden="false" customHeight="true" outlineLevel="0" collapsed="false">
      <c r="A55" s="121" t="s">
        <v>163</v>
      </c>
      <c r="B55" s="121" t="s">
        <v>164</v>
      </c>
      <c r="C55" s="121"/>
      <c r="D55" s="121"/>
      <c r="E55" s="416"/>
      <c r="F55" s="416"/>
      <c r="G55" s="121"/>
      <c r="H55" s="121"/>
      <c r="I55" s="121"/>
      <c r="J55" s="121"/>
      <c r="K55" s="121"/>
      <c r="L55" s="191"/>
      <c r="M55" s="456"/>
      <c r="N55" s="456"/>
      <c r="P55" s="155"/>
      <c r="Q55" s="452"/>
      <c r="R55" s="155"/>
      <c r="S55" s="457"/>
      <c r="T55" s="460" t="s">
        <v>261</v>
      </c>
      <c r="U55" s="459"/>
      <c r="V55" s="459"/>
      <c r="W55" s="459"/>
      <c r="X55" s="459"/>
      <c r="Y55" s="459"/>
      <c r="Z55" s="459"/>
      <c r="AA55" s="459"/>
      <c r="AB55" s="459"/>
      <c r="AC55" s="459"/>
      <c r="AD55" s="459"/>
      <c r="AE55" s="459"/>
      <c r="AF55" s="459"/>
      <c r="AG55" s="459"/>
      <c r="AH55" s="459"/>
      <c r="AI55" s="459"/>
      <c r="AJ55" s="459"/>
      <c r="AK55" s="459"/>
      <c r="AL55" s="459"/>
      <c r="AM55" s="459"/>
      <c r="AO55" s="117"/>
      <c r="AP55" s="117" t="str">
        <f aca="false">IF(T55="","",T55)</f>
        <v>Добавить централизованную систему для дифференциации</v>
      </c>
      <c r="AQ55" s="117"/>
      <c r="AR55" s="117"/>
    </row>
    <row r="56" s="47" customFormat="true" ht="0.75" hidden="false" customHeight="true" outlineLevel="0" collapsed="false">
      <c r="A56" s="121" t="s">
        <v>163</v>
      </c>
      <c r="B56" s="121"/>
      <c r="C56" s="121"/>
      <c r="D56" s="121"/>
      <c r="E56" s="416"/>
      <c r="F56" s="121"/>
      <c r="G56" s="121"/>
      <c r="H56" s="121"/>
      <c r="I56" s="121"/>
      <c r="J56" s="121"/>
      <c r="K56" s="121"/>
      <c r="L56" s="191"/>
      <c r="M56" s="456"/>
      <c r="N56" s="456"/>
      <c r="P56" s="155"/>
      <c r="Q56" s="452"/>
      <c r="R56" s="155"/>
      <c r="S56" s="457"/>
      <c r="T56" s="460" t="s">
        <v>268</v>
      </c>
      <c r="U56" s="459"/>
      <c r="V56" s="459"/>
      <c r="W56" s="459"/>
      <c r="X56" s="459"/>
      <c r="Y56" s="459"/>
      <c r="Z56" s="459"/>
      <c r="AA56" s="459"/>
      <c r="AB56" s="459"/>
      <c r="AC56" s="459"/>
      <c r="AD56" s="459"/>
      <c r="AE56" s="459"/>
      <c r="AF56" s="459"/>
      <c r="AG56" s="459"/>
      <c r="AH56" s="459"/>
      <c r="AI56" s="459"/>
      <c r="AJ56" s="459"/>
      <c r="AK56" s="459"/>
      <c r="AL56" s="459"/>
      <c r="AM56" s="459"/>
      <c r="AO56" s="117"/>
      <c r="AP56" s="117" t="str">
        <f aca="false">IF(T56="","",T56)</f>
        <v>Добавить территорию для дифференциации</v>
      </c>
      <c r="AQ56" s="117"/>
      <c r="AR56" s="117"/>
    </row>
    <row r="57" s="47" customFormat="true" ht="0.75" hidden="false" customHeight="true" outlineLevel="0" collapsed="false">
      <c r="A57" s="121"/>
      <c r="B57" s="121"/>
      <c r="C57" s="121"/>
      <c r="D57" s="121"/>
      <c r="E57" s="121"/>
      <c r="F57" s="121"/>
      <c r="G57" s="121"/>
      <c r="H57" s="121"/>
      <c r="I57" s="121"/>
      <c r="J57" s="121"/>
      <c r="K57" s="121"/>
      <c r="L57" s="191"/>
      <c r="M57" s="456"/>
      <c r="N57" s="456"/>
      <c r="P57" s="155"/>
      <c r="Q57" s="452"/>
      <c r="R57" s="155"/>
      <c r="S57" s="457"/>
      <c r="T57" s="460" t="s">
        <v>269</v>
      </c>
      <c r="U57" s="459"/>
      <c r="V57" s="459"/>
      <c r="W57" s="459"/>
      <c r="X57" s="459"/>
      <c r="Y57" s="459"/>
      <c r="Z57" s="459"/>
      <c r="AA57" s="459"/>
      <c r="AB57" s="459"/>
      <c r="AC57" s="459"/>
      <c r="AD57" s="459"/>
      <c r="AE57" s="459"/>
      <c r="AF57" s="459"/>
      <c r="AG57" s="459"/>
      <c r="AH57" s="459"/>
      <c r="AI57" s="459"/>
      <c r="AJ57" s="459"/>
      <c r="AK57" s="459"/>
      <c r="AL57" s="459"/>
      <c r="AM57" s="459"/>
      <c r="AO57" s="117"/>
      <c r="AP57" s="117" t="str">
        <f aca="false">IF(T57="","",T57)</f>
        <v>Добавить наименование тарифа</v>
      </c>
      <c r="AQ57" s="117"/>
      <c r="AR57" s="117"/>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12"/>
      <c r="T59" s="491"/>
      <c r="U59" s="491"/>
      <c r="V59" s="491"/>
      <c r="W59" s="491"/>
      <c r="X59" s="491"/>
      <c r="Y59" s="491"/>
      <c r="Z59" s="491"/>
      <c r="AA59" s="491"/>
      <c r="AB59" s="491"/>
      <c r="AC59" s="491"/>
      <c r="AD59" s="491"/>
      <c r="AE59" s="491"/>
      <c r="AF59" s="491"/>
      <c r="AG59" s="491"/>
      <c r="AH59" s="491"/>
      <c r="AI59" s="491"/>
      <c r="AJ59" s="491"/>
      <c r="AK59" s="491"/>
      <c r="AL59" s="491"/>
      <c r="AM59" s="491"/>
    </row>
    <row r="60" customFormat="false" ht="64.5" hidden="false" customHeight="true" outlineLevel="0" collapsed="false">
      <c r="O60" s="45"/>
      <c r="T60" s="491"/>
      <c r="U60" s="491"/>
      <c r="V60" s="491"/>
      <c r="W60" s="491"/>
      <c r="X60" s="491"/>
      <c r="Y60" s="491"/>
      <c r="Z60" s="491"/>
      <c r="AA60" s="491"/>
      <c r="AB60" s="491"/>
      <c r="AC60" s="491"/>
      <c r="AD60" s="491"/>
      <c r="AE60" s="491"/>
      <c r="AF60" s="491"/>
      <c r="AG60" s="491"/>
      <c r="AH60" s="491"/>
      <c r="AI60" s="491"/>
      <c r="AJ60" s="491"/>
      <c r="AK60" s="491"/>
      <c r="AL60" s="491"/>
      <c r="AM60" s="491"/>
    </row>
    <row r="61" customFormat="false" ht="14.25" hidden="false" customHeight="true" outlineLevel="0" collapsed="false">
      <c r="O61" s="45"/>
    </row>
    <row r="62" customFormat="false" ht="18" hidden="false" customHeight="true" outlineLevel="0" collapsed="false">
      <c r="O62" s="45"/>
      <c r="S62" s="412"/>
      <c r="T62" s="491"/>
      <c r="U62" s="491"/>
      <c r="V62" s="491"/>
      <c r="W62" s="491"/>
      <c r="X62" s="491"/>
      <c r="Y62" s="491"/>
      <c r="Z62" s="491"/>
      <c r="AA62" s="491"/>
      <c r="AB62" s="491"/>
      <c r="AC62" s="491"/>
      <c r="AD62" s="491"/>
      <c r="AE62" s="491"/>
      <c r="AF62" s="491"/>
      <c r="AG62" s="491"/>
      <c r="AH62" s="491"/>
      <c r="AI62" s="491"/>
      <c r="AJ62" s="491"/>
      <c r="AK62" s="491"/>
      <c r="AL62" s="491"/>
      <c r="AM62" s="491"/>
    </row>
    <row r="63" customFormat="false" ht="18" hidden="false" customHeight="true" outlineLevel="0" collapsed="false">
      <c r="O63" s="45"/>
      <c r="T63" s="491"/>
      <c r="U63" s="491"/>
      <c r="V63" s="491"/>
      <c r="W63" s="491"/>
      <c r="X63" s="491"/>
      <c r="Y63" s="491"/>
      <c r="Z63" s="491"/>
      <c r="AA63" s="491"/>
      <c r="AB63" s="491"/>
      <c r="AC63" s="491"/>
      <c r="AD63" s="491"/>
      <c r="AE63" s="491"/>
      <c r="AF63" s="491"/>
      <c r="AG63" s="491"/>
      <c r="AH63" s="491"/>
      <c r="AI63" s="491"/>
      <c r="AJ63" s="491"/>
      <c r="AK63" s="491"/>
      <c r="AL63" s="491"/>
      <c r="AM63" s="491"/>
    </row>
    <row r="64" customFormat="false" ht="27.75" hidden="false" customHeight="true" outlineLevel="0" collapsed="false">
      <c r="O64" s="45"/>
      <c r="S64" s="412"/>
      <c r="T64" s="491"/>
      <c r="U64" s="491"/>
      <c r="V64" s="491"/>
      <c r="W64" s="491"/>
      <c r="X64" s="491"/>
      <c r="Y64" s="491"/>
      <c r="Z64" s="491"/>
      <c r="AA64" s="491"/>
      <c r="AB64" s="491"/>
      <c r="AC64" s="491"/>
      <c r="AD64" s="491"/>
      <c r="AE64" s="491"/>
      <c r="AF64" s="491"/>
      <c r="AG64" s="491"/>
      <c r="AH64" s="491"/>
      <c r="AI64" s="491"/>
      <c r="AJ64" s="491"/>
      <c r="AK64" s="491"/>
      <c r="AL64" s="491"/>
      <c r="AM64" s="491"/>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71"/>
    <col collapsed="false" customWidth="true" hidden="false" outlineLevel="0" max="18" min="17" style="414" width="3.71"/>
    <col collapsed="false" customWidth="true" hidden="false" outlineLevel="0" max="19" min="19" style="75" width="12.71"/>
    <col collapsed="false" customWidth="true" hidden="false" outlineLevel="0" max="20" min="20" style="42" width="32"/>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7" width="10.57"/>
    <col collapsed="false" customWidth="true" hidden="false" outlineLevel="0" max="42" min="42" style="47" width="11.14"/>
    <col collapsed="false" customWidth="false" hidden="false" outlineLevel="0" max="44" min="43" style="47" width="10.57"/>
  </cols>
  <sheetData>
    <row r="1" customFormat="false" ht="14.25" hidden="true" customHeight="true" outlineLevel="0" collapsed="false"/>
    <row r="2" customFormat="false" ht="21" hidden="true" customHeight="true" outlineLevel="0" collapsed="false">
      <c r="A2" s="415"/>
      <c r="B2" s="415"/>
      <c r="C2" s="415"/>
      <c r="D2" s="415"/>
      <c r="E2" s="416" t="n">
        <v>1</v>
      </c>
      <c r="F2" s="415"/>
      <c r="G2" s="415"/>
      <c r="H2" s="415"/>
      <c r="I2" s="415"/>
      <c r="J2" s="415"/>
      <c r="K2" s="415"/>
      <c r="L2" s="417"/>
      <c r="M2" s="40"/>
      <c r="N2" s="40"/>
      <c r="O2" s="40"/>
      <c r="Q2" s="131"/>
      <c r="R2" s="418"/>
      <c r="S2" s="419" t="e">
        <f aca="false">INDEX(PT_DIFFERENTIATION_NUM_NTAR,MATCH(A2,PT_DIFFERENTIATION_NTAR_ID,0))</f>
        <v>#N/A</v>
      </c>
      <c r="T2" s="420" t="s">
        <v>130</v>
      </c>
      <c r="U2" s="421"/>
      <c r="V2" s="422"/>
      <c r="W2" s="422"/>
      <c r="X2" s="422"/>
      <c r="Y2" s="422"/>
      <c r="Z2" s="422"/>
      <c r="AA2" s="422"/>
      <c r="AB2" s="422"/>
      <c r="AC2" s="422"/>
      <c r="AD2" s="423" t="e">
        <f aca="false">INDEX(PT_DIFFERENTIATION_NTAR,MATCH(A2,PT_DIFFERENTIATION_NTAR_ID,0))</f>
        <v>#N/A</v>
      </c>
      <c r="AE2" s="423"/>
      <c r="AF2" s="423"/>
      <c r="AG2" s="423"/>
      <c r="AH2" s="423"/>
      <c r="AI2" s="423"/>
      <c r="AJ2" s="423"/>
      <c r="AK2" s="423"/>
      <c r="AL2" s="423"/>
      <c r="AM2" s="424" t="s">
        <v>412</v>
      </c>
      <c r="AO2" s="117"/>
      <c r="AP2" s="117" t="str">
        <f aca="false">IF(T2="","",T2)</f>
        <v>Наименование тарифа</v>
      </c>
      <c r="AQ2" s="117"/>
      <c r="AR2" s="117"/>
    </row>
    <row r="3" customFormat="false" ht="21" hidden="true" customHeight="true" outlineLevel="0" collapsed="false">
      <c r="A3" s="415"/>
      <c r="B3" s="415"/>
      <c r="C3" s="415"/>
      <c r="D3" s="415"/>
      <c r="E3" s="416"/>
      <c r="F3" s="416" t="n">
        <v>1</v>
      </c>
      <c r="G3" s="415"/>
      <c r="H3" s="415"/>
      <c r="I3" s="415"/>
      <c r="J3" s="415"/>
      <c r="K3" s="415"/>
      <c r="L3" s="417"/>
      <c r="M3" s="40"/>
      <c r="N3" s="40"/>
      <c r="O3" s="40"/>
      <c r="P3" s="43"/>
      <c r="Q3" s="425"/>
      <c r="R3" s="426"/>
      <c r="S3" s="419" t="e">
        <f aca="false">INDEX(PT_DIFFERENTIATION_NUM_TER,MATCH(B3,PT_DIFFERENTIATION_TER_ID,0))</f>
        <v>#N/A</v>
      </c>
      <c r="T3" s="427" t="s">
        <v>413</v>
      </c>
      <c r="U3" s="421"/>
      <c r="V3" s="422"/>
      <c r="W3" s="422"/>
      <c r="X3" s="422"/>
      <c r="Y3" s="422"/>
      <c r="Z3" s="422"/>
      <c r="AA3" s="422"/>
      <c r="AB3" s="422"/>
      <c r="AC3" s="422"/>
      <c r="AD3" s="423" t="e">
        <f aca="false">INDEX(PT_DIFFERENTIATION_TER,MATCH(B3,PT_DIFFERENTIATION_TER_ID,0))</f>
        <v>#N/A</v>
      </c>
      <c r="AE3" s="423"/>
      <c r="AF3" s="423"/>
      <c r="AG3" s="423"/>
      <c r="AH3" s="423"/>
      <c r="AI3" s="423"/>
      <c r="AJ3" s="423"/>
      <c r="AK3" s="423"/>
      <c r="AL3" s="423"/>
      <c r="AM3" s="424" t="s">
        <v>414</v>
      </c>
      <c r="AO3" s="117"/>
      <c r="AP3" s="117" t="str">
        <f aca="false">IF(T3="","",T3)</f>
        <v>Территория действия тарифа</v>
      </c>
      <c r="AQ3" s="117"/>
      <c r="AR3" s="117"/>
    </row>
    <row r="4" customFormat="false" ht="23.25" hidden="true" customHeight="true" outlineLevel="0" collapsed="false">
      <c r="A4" s="415"/>
      <c r="B4" s="415"/>
      <c r="C4" s="415"/>
      <c r="D4" s="415"/>
      <c r="E4" s="416"/>
      <c r="F4" s="416"/>
      <c r="G4" s="416" t="n">
        <v>1</v>
      </c>
      <c r="H4" s="415"/>
      <c r="I4" s="415"/>
      <c r="J4" s="415"/>
      <c r="K4" s="415"/>
      <c r="L4" s="417"/>
      <c r="M4" s="40"/>
      <c r="N4" s="40"/>
      <c r="O4" s="40"/>
      <c r="P4" s="428"/>
      <c r="Q4" s="425"/>
      <c r="R4" s="426"/>
      <c r="S4" s="419" t="e">
        <f aca="false">INDEX(PT_DIFFERENTIATION_NUM_CS,MATCH(C4,PT_DIFFERENTIATION_CS_ID,0))</f>
        <v>#N/A</v>
      </c>
      <c r="T4" s="429" t="s">
        <v>415</v>
      </c>
      <c r="U4" s="421"/>
      <c r="V4" s="422"/>
      <c r="W4" s="422"/>
      <c r="X4" s="422"/>
      <c r="Y4" s="422"/>
      <c r="Z4" s="422"/>
      <c r="AA4" s="422"/>
      <c r="AB4" s="422"/>
      <c r="AC4" s="422"/>
      <c r="AD4" s="423" t="e">
        <f aca="false">INDEX(PT_DIFFERENTIATION_CS,MATCH(C4,PT_DIFFERENTIATION_CS_ID,0))</f>
        <v>#N/A</v>
      </c>
      <c r="AE4" s="423"/>
      <c r="AF4" s="423"/>
      <c r="AG4" s="423"/>
      <c r="AH4" s="423"/>
      <c r="AI4" s="423"/>
      <c r="AJ4" s="423"/>
      <c r="AK4" s="423"/>
      <c r="AL4" s="423"/>
      <c r="AM4" s="424" t="s">
        <v>416</v>
      </c>
      <c r="AO4" s="117"/>
      <c r="AP4" s="117" t="str">
        <f aca="false">IF(T4="","",T4)</f>
        <v>Наименование системы теплоснабжения</v>
      </c>
      <c r="AQ4" s="117"/>
      <c r="AR4" s="117"/>
    </row>
    <row r="5" customFormat="false" ht="21" hidden="true" customHeight="true" outlineLevel="0" collapsed="false">
      <c r="A5" s="415"/>
      <c r="B5" s="415"/>
      <c r="C5" s="415"/>
      <c r="D5" s="415"/>
      <c r="E5" s="416"/>
      <c r="F5" s="416"/>
      <c r="G5" s="416"/>
      <c r="H5" s="416" t="n">
        <v>1</v>
      </c>
      <c r="I5" s="415"/>
      <c r="J5" s="415"/>
      <c r="K5" s="415"/>
      <c r="L5" s="417"/>
      <c r="M5" s="40"/>
      <c r="N5" s="40"/>
      <c r="O5" s="40"/>
      <c r="P5" s="428"/>
      <c r="Q5" s="425"/>
      <c r="R5" s="426"/>
      <c r="S5" s="419" t="e">
        <f aca="false">INDEX(PT_DIFFERENTIATION_NUM_IST_TE,MATCH(D5,PT_DIFFERENTIATION_IST_TE_ID,0))</f>
        <v>#N/A</v>
      </c>
      <c r="T5" s="430" t="s">
        <v>417</v>
      </c>
      <c r="U5" s="421"/>
      <c r="V5" s="422"/>
      <c r="W5" s="422"/>
      <c r="X5" s="422"/>
      <c r="Y5" s="422"/>
      <c r="Z5" s="422"/>
      <c r="AA5" s="422"/>
      <c r="AB5" s="422"/>
      <c r="AC5" s="422"/>
      <c r="AD5" s="423" t="e">
        <f aca="false">INDEX(PT_DIFFERENTIATION_IST_TE,MATCH(D5,PT_DIFFERENTIATION_IST_TE_ID,0))</f>
        <v>#N/A</v>
      </c>
      <c r="AE5" s="423"/>
      <c r="AF5" s="423"/>
      <c r="AG5" s="423"/>
      <c r="AH5" s="423"/>
      <c r="AI5" s="423"/>
      <c r="AJ5" s="423"/>
      <c r="AK5" s="423"/>
      <c r="AL5" s="423"/>
      <c r="AM5" s="424" t="s">
        <v>418</v>
      </c>
      <c r="AO5" s="117"/>
      <c r="AP5" s="117" t="str">
        <f aca="false">IF(T5="","",T5)</f>
        <v>Источник тепловой энергии</v>
      </c>
      <c r="AQ5" s="117"/>
      <c r="AR5" s="117"/>
    </row>
    <row r="6" customFormat="false" ht="47.25" hidden="true" customHeight="true" outlineLevel="0" collapsed="false">
      <c r="A6" s="415"/>
      <c r="B6" s="415"/>
      <c r="C6" s="415"/>
      <c r="D6" s="415"/>
      <c r="E6" s="416"/>
      <c r="F6" s="416"/>
      <c r="G6" s="416"/>
      <c r="H6" s="416"/>
      <c r="I6" s="431" t="e">
        <f aca="false">S5&amp;".1"</f>
        <v>#N/A</v>
      </c>
      <c r="J6" s="415"/>
      <c r="K6" s="415"/>
      <c r="L6" s="417" t="s">
        <v>419</v>
      </c>
      <c r="M6" s="45"/>
      <c r="P6" s="120" t="n">
        <v>1</v>
      </c>
      <c r="Q6" s="120"/>
      <c r="R6" s="432"/>
      <c r="S6" s="419" t="e">
        <f aca="false">$I6</f>
        <v>#N/A</v>
      </c>
      <c r="T6" s="433" t="s">
        <v>420</v>
      </c>
      <c r="U6" s="421"/>
      <c r="V6" s="434"/>
      <c r="W6" s="434"/>
      <c r="X6" s="434"/>
      <c r="Y6" s="434"/>
      <c r="Z6" s="434"/>
      <c r="AA6" s="434"/>
      <c r="AB6" s="434"/>
      <c r="AC6" s="434"/>
      <c r="AD6" s="434"/>
      <c r="AE6" s="434"/>
      <c r="AF6" s="434"/>
      <c r="AG6" s="434"/>
      <c r="AH6" s="434"/>
      <c r="AI6" s="434"/>
      <c r="AJ6" s="434"/>
      <c r="AK6" s="434"/>
      <c r="AL6" s="434"/>
      <c r="AM6" s="424" t="s">
        <v>421</v>
      </c>
      <c r="AO6" s="117"/>
      <c r="AP6" s="117" t="str">
        <f aca="false">IF(T6="","",T6)</f>
        <v>Схема подключения теплопотребляющей установки к коллектору источника тепловой энергии</v>
      </c>
      <c r="AQ6" s="117"/>
      <c r="AR6" s="117"/>
    </row>
    <row r="7" customFormat="false" ht="21" hidden="true" customHeight="true" outlineLevel="0" collapsed="false">
      <c r="A7" s="415"/>
      <c r="B7" s="415"/>
      <c r="C7" s="415"/>
      <c r="D7" s="415"/>
      <c r="E7" s="416"/>
      <c r="F7" s="416"/>
      <c r="G7" s="416"/>
      <c r="H7" s="416"/>
      <c r="I7" s="431"/>
      <c r="J7" s="431" t="e">
        <f aca="false">I6&amp;".1"</f>
        <v>#N/A</v>
      </c>
      <c r="K7" s="415"/>
      <c r="L7" s="417" t="s">
        <v>422</v>
      </c>
      <c r="M7" s="45"/>
      <c r="N7" s="45"/>
      <c r="P7" s="120"/>
      <c r="Q7" s="120" t="n">
        <v>1</v>
      </c>
      <c r="R7" s="435"/>
      <c r="S7" s="419" t="e">
        <f aca="false">$J7</f>
        <v>#N/A</v>
      </c>
      <c r="T7" s="436" t="s">
        <v>423</v>
      </c>
      <c r="U7" s="421"/>
      <c r="V7" s="434"/>
      <c r="W7" s="434"/>
      <c r="X7" s="434"/>
      <c r="Y7" s="434"/>
      <c r="Z7" s="434"/>
      <c r="AA7" s="434"/>
      <c r="AB7" s="434"/>
      <c r="AC7" s="434"/>
      <c r="AD7" s="434"/>
      <c r="AE7" s="434"/>
      <c r="AF7" s="434"/>
      <c r="AG7" s="434"/>
      <c r="AH7" s="434"/>
      <c r="AI7" s="434"/>
      <c r="AJ7" s="434"/>
      <c r="AK7" s="434"/>
      <c r="AL7" s="434"/>
      <c r="AM7" s="424" t="s">
        <v>424</v>
      </c>
      <c r="AO7" s="117"/>
      <c r="AP7" s="117" t="str">
        <f aca="false">IF(T7="","",T7)</f>
        <v>Группа потребителей</v>
      </c>
      <c r="AQ7" s="117"/>
      <c r="AR7" s="117"/>
    </row>
    <row r="8" customFormat="false" ht="21" hidden="true" customHeight="true" outlineLevel="0" collapsed="false">
      <c r="A8" s="415"/>
      <c r="B8" s="415"/>
      <c r="C8" s="415"/>
      <c r="D8" s="415"/>
      <c r="E8" s="416"/>
      <c r="F8" s="416"/>
      <c r="G8" s="416"/>
      <c r="H8" s="416"/>
      <c r="I8" s="431"/>
      <c r="J8" s="431"/>
      <c r="K8" s="431" t="e">
        <f aca="false">J7&amp;".1"</f>
        <v>#N/A</v>
      </c>
      <c r="L8" s="417" t="s">
        <v>425</v>
      </c>
      <c r="M8" s="45"/>
      <c r="N8" s="45"/>
      <c r="O8" s="45"/>
      <c r="P8" s="120"/>
      <c r="Q8" s="120"/>
      <c r="R8" s="435" t="n">
        <v>1</v>
      </c>
      <c r="S8" s="419" t="e">
        <f aca="false">$K8</f>
        <v>#N/A</v>
      </c>
      <c r="T8" s="437"/>
      <c r="U8" s="421"/>
      <c r="V8" s="438"/>
      <c r="W8" s="439"/>
      <c r="X8" s="438"/>
      <c r="Y8" s="440"/>
      <c r="Z8" s="441"/>
      <c r="AA8" s="203" t="s">
        <v>63</v>
      </c>
      <c r="AB8" s="441"/>
      <c r="AC8" s="203" t="s">
        <v>63</v>
      </c>
      <c r="AD8" s="438"/>
      <c r="AE8" s="439"/>
      <c r="AF8" s="438"/>
      <c r="AG8" s="440"/>
      <c r="AH8" s="441"/>
      <c r="AI8" s="203" t="s">
        <v>63</v>
      </c>
      <c r="AJ8" s="441"/>
      <c r="AK8" s="203" t="s">
        <v>63</v>
      </c>
      <c r="AL8" s="439"/>
      <c r="AM8" s="442" t="s">
        <v>426</v>
      </c>
      <c r="AN8" s="47" t="e">
        <f aca="false">strcheckdate(V9:AL9)</f>
        <v>#NAME?</v>
      </c>
      <c r="AO8" s="117"/>
      <c r="AP8" s="117" t="str">
        <f aca="false">IF(T8="","",T8)</f>
        <v/>
      </c>
      <c r="AQ8" s="117"/>
      <c r="AR8" s="117"/>
    </row>
    <row r="9" customFormat="false" ht="0.75" hidden="true" customHeight="true" outlineLevel="0" collapsed="false">
      <c r="A9" s="415"/>
      <c r="B9" s="415"/>
      <c r="C9" s="415"/>
      <c r="D9" s="415"/>
      <c r="E9" s="416"/>
      <c r="F9" s="416"/>
      <c r="G9" s="416"/>
      <c r="H9" s="416"/>
      <c r="I9" s="431"/>
      <c r="J9" s="431"/>
      <c r="K9" s="431"/>
      <c r="L9" s="417"/>
      <c r="M9" s="45"/>
      <c r="N9" s="45"/>
      <c r="O9" s="45"/>
      <c r="P9" s="120"/>
      <c r="Q9" s="120"/>
      <c r="R9" s="435"/>
      <c r="S9" s="396"/>
      <c r="T9" s="421"/>
      <c r="U9" s="421"/>
      <c r="V9" s="439"/>
      <c r="W9" s="439"/>
      <c r="X9" s="439"/>
      <c r="Y9" s="443" t="str">
        <f aca="false">Z8&amp;"-"&amp;AB8</f>
        <v>-</v>
      </c>
      <c r="Z9" s="441"/>
      <c r="AA9" s="203"/>
      <c r="AB9" s="441"/>
      <c r="AC9" s="203"/>
      <c r="AD9" s="439"/>
      <c r="AE9" s="439"/>
      <c r="AF9" s="439"/>
      <c r="AG9" s="443" t="str">
        <f aca="false">AH8&amp;"-"&amp;AJ8</f>
        <v>-</v>
      </c>
      <c r="AH9" s="441"/>
      <c r="AI9" s="203"/>
      <c r="AJ9" s="441"/>
      <c r="AK9" s="203"/>
      <c r="AL9" s="439"/>
      <c r="AM9" s="442"/>
      <c r="AO9" s="117"/>
      <c r="AP9" s="117" t="str">
        <f aca="false">IF(T9="","",T9)</f>
        <v/>
      </c>
      <c r="AQ9" s="117"/>
      <c r="AR9" s="117"/>
    </row>
    <row r="10" customFormat="false" ht="15" hidden="true" customHeight="true" outlineLevel="0" collapsed="false">
      <c r="A10" s="415"/>
      <c r="B10" s="415"/>
      <c r="C10" s="415"/>
      <c r="D10" s="415"/>
      <c r="E10" s="416"/>
      <c r="F10" s="416"/>
      <c r="G10" s="416"/>
      <c r="H10" s="416"/>
      <c r="I10" s="431"/>
      <c r="J10" s="431"/>
      <c r="K10" s="415"/>
      <c r="L10" s="417"/>
      <c r="M10" s="45"/>
      <c r="N10" s="45"/>
      <c r="P10" s="120"/>
      <c r="Q10" s="120"/>
      <c r="R10" s="432"/>
      <c r="S10" s="444"/>
      <c r="T10" s="445" t="s">
        <v>427</v>
      </c>
      <c r="U10" s="193"/>
      <c r="V10" s="193"/>
      <c r="W10" s="193"/>
      <c r="X10" s="193"/>
      <c r="Y10" s="193"/>
      <c r="Z10" s="193"/>
      <c r="AA10" s="193"/>
      <c r="AB10" s="193"/>
      <c r="AC10" s="193"/>
      <c r="AD10" s="193"/>
      <c r="AE10" s="193"/>
      <c r="AF10" s="193"/>
      <c r="AG10" s="193"/>
      <c r="AH10" s="193"/>
      <c r="AI10" s="193"/>
      <c r="AJ10" s="193"/>
      <c r="AK10" s="193"/>
      <c r="AL10" s="446"/>
      <c r="AM10" s="442"/>
      <c r="AO10" s="117"/>
      <c r="AP10" s="117" t="str">
        <f aca="false">IF(T10="","",T10)</f>
        <v>Добавить вид теплоносителя (параметры теплоносителя)</v>
      </c>
      <c r="AQ10" s="117"/>
      <c r="AR10" s="117"/>
    </row>
    <row r="11" customFormat="false" ht="15" hidden="true" customHeight="true" outlineLevel="0" collapsed="false">
      <c r="A11" s="415"/>
      <c r="B11" s="415"/>
      <c r="C11" s="415"/>
      <c r="D11" s="415"/>
      <c r="E11" s="416"/>
      <c r="F11" s="416"/>
      <c r="G11" s="416"/>
      <c r="H11" s="416"/>
      <c r="I11" s="431"/>
      <c r="J11" s="415"/>
      <c r="K11" s="415"/>
      <c r="L11" s="417"/>
      <c r="M11" s="45"/>
      <c r="P11" s="120"/>
      <c r="Q11" s="120"/>
      <c r="R11" s="432"/>
      <c r="S11" s="444"/>
      <c r="T11" s="447" t="s">
        <v>428</v>
      </c>
      <c r="U11" s="193"/>
      <c r="V11" s="193"/>
      <c r="W11" s="193"/>
      <c r="X11" s="193"/>
      <c r="Y11" s="193"/>
      <c r="Z11" s="193"/>
      <c r="AA11" s="193"/>
      <c r="AB11" s="193"/>
      <c r="AC11" s="448"/>
      <c r="AD11" s="193"/>
      <c r="AE11" s="193"/>
      <c r="AF11" s="193"/>
      <c r="AG11" s="193"/>
      <c r="AH11" s="193"/>
      <c r="AI11" s="193"/>
      <c r="AJ11" s="193"/>
      <c r="AK11" s="448"/>
      <c r="AL11" s="193"/>
      <c r="AM11" s="449"/>
      <c r="AO11" s="117"/>
      <c r="AP11" s="117" t="str">
        <f aca="false">IF(T11="","",T11)</f>
        <v>Добавить группу потребителей</v>
      </c>
      <c r="AQ11" s="117"/>
      <c r="AR11" s="117"/>
    </row>
    <row r="12" customFormat="false" ht="14.25" hidden="true" customHeight="true" outlineLevel="0" collapsed="false">
      <c r="A12" s="415"/>
      <c r="B12" s="415"/>
      <c r="C12" s="415"/>
      <c r="D12" s="415"/>
      <c r="E12" s="416"/>
      <c r="F12" s="416"/>
      <c r="G12" s="416"/>
      <c r="H12" s="416"/>
      <c r="I12" s="415"/>
      <c r="J12" s="415"/>
      <c r="K12" s="415"/>
      <c r="L12" s="417"/>
      <c r="M12" s="40"/>
      <c r="N12" s="40"/>
      <c r="O12" s="45"/>
      <c r="P12" s="131"/>
      <c r="Q12" s="450"/>
      <c r="R12" s="418"/>
      <c r="S12" s="444"/>
      <c r="T12" s="451" t="s">
        <v>429</v>
      </c>
      <c r="U12" s="193"/>
      <c r="V12" s="193"/>
      <c r="W12" s="193"/>
      <c r="X12" s="193"/>
      <c r="Y12" s="193"/>
      <c r="Z12" s="193"/>
      <c r="AA12" s="193"/>
      <c r="AB12" s="193"/>
      <c r="AC12" s="448"/>
      <c r="AD12" s="193"/>
      <c r="AE12" s="193"/>
      <c r="AF12" s="193"/>
      <c r="AG12" s="193"/>
      <c r="AH12" s="193"/>
      <c r="AI12" s="193"/>
      <c r="AJ12" s="193"/>
      <c r="AK12" s="448"/>
      <c r="AL12" s="193"/>
      <c r="AM12" s="449"/>
      <c r="AO12" s="117"/>
      <c r="AP12" s="117" t="str">
        <f aca="false">IF(T12="","",T12)</f>
        <v>Добавить схему подключения</v>
      </c>
      <c r="AQ12" s="117"/>
      <c r="AR12" s="117"/>
    </row>
    <row r="13" s="47" customFormat="true" ht="0.75" hidden="true" customHeight="true" outlineLevel="0" collapsed="false">
      <c r="A13" s="121"/>
      <c r="B13" s="121"/>
      <c r="C13" s="121"/>
      <c r="D13" s="121"/>
      <c r="E13" s="416"/>
      <c r="F13" s="416"/>
      <c r="G13" s="416"/>
      <c r="H13" s="121"/>
      <c r="I13" s="121"/>
      <c r="J13" s="121"/>
      <c r="K13" s="121"/>
      <c r="L13" s="191"/>
      <c r="M13" s="46"/>
      <c r="N13" s="46"/>
      <c r="P13" s="155"/>
      <c r="Q13" s="452"/>
      <c r="R13" s="155"/>
      <c r="S13" s="453"/>
      <c r="T13" s="454" t="s">
        <v>430</v>
      </c>
      <c r="U13" s="455"/>
      <c r="V13" s="455"/>
      <c r="W13" s="455"/>
      <c r="X13" s="455"/>
      <c r="Y13" s="455"/>
      <c r="Z13" s="455"/>
      <c r="AA13" s="455"/>
      <c r="AB13" s="455"/>
      <c r="AC13" s="455"/>
      <c r="AD13" s="455"/>
      <c r="AE13" s="455"/>
      <c r="AF13" s="455"/>
      <c r="AG13" s="455"/>
      <c r="AH13" s="455"/>
      <c r="AI13" s="455"/>
      <c r="AJ13" s="455"/>
      <c r="AK13" s="455"/>
      <c r="AL13" s="455"/>
      <c r="AM13" s="455"/>
      <c r="AO13" s="117"/>
      <c r="AP13" s="117" t="str">
        <f aca="false">IF(T13="","",T13)</f>
        <v>Добавить источник для дифференциации</v>
      </c>
      <c r="AQ13" s="117"/>
      <c r="AR13" s="117"/>
    </row>
    <row r="14" s="47" customFormat="true" ht="0.75" hidden="true" customHeight="true" outlineLevel="0" collapsed="false">
      <c r="A14" s="121"/>
      <c r="B14" s="121"/>
      <c r="C14" s="121"/>
      <c r="D14" s="121"/>
      <c r="E14" s="416"/>
      <c r="F14" s="416"/>
      <c r="G14" s="121"/>
      <c r="H14" s="121"/>
      <c r="I14" s="121"/>
      <c r="J14" s="121"/>
      <c r="K14" s="121"/>
      <c r="L14" s="191"/>
      <c r="M14" s="456"/>
      <c r="N14" s="456"/>
      <c r="P14" s="155"/>
      <c r="Q14" s="452"/>
      <c r="R14" s="155"/>
      <c r="S14" s="457"/>
      <c r="T14" s="458" t="s">
        <v>261</v>
      </c>
      <c r="U14" s="459"/>
      <c r="V14" s="459"/>
      <c r="W14" s="459"/>
      <c r="X14" s="459"/>
      <c r="Y14" s="459"/>
      <c r="Z14" s="459"/>
      <c r="AA14" s="459"/>
      <c r="AB14" s="459"/>
      <c r="AC14" s="459"/>
      <c r="AD14" s="459"/>
      <c r="AE14" s="459"/>
      <c r="AF14" s="459"/>
      <c r="AG14" s="459"/>
      <c r="AH14" s="459"/>
      <c r="AI14" s="459"/>
      <c r="AJ14" s="459"/>
      <c r="AK14" s="459"/>
      <c r="AL14" s="459"/>
      <c r="AM14" s="459"/>
      <c r="AO14" s="117"/>
      <c r="AP14" s="117" t="str">
        <f aca="false">IF(T14="","",T14)</f>
        <v>Добавить централизованную систему для дифференциации</v>
      </c>
      <c r="AQ14" s="117"/>
      <c r="AR14" s="117"/>
    </row>
    <row r="15" s="47" customFormat="true" ht="0.75" hidden="true" customHeight="true" outlineLevel="0" collapsed="false">
      <c r="A15" s="121"/>
      <c r="B15" s="121"/>
      <c r="C15" s="121"/>
      <c r="D15" s="121"/>
      <c r="E15" s="416"/>
      <c r="F15" s="121"/>
      <c r="G15" s="121"/>
      <c r="H15" s="121"/>
      <c r="I15" s="121"/>
      <c r="J15" s="121"/>
      <c r="K15" s="121"/>
      <c r="L15" s="191"/>
      <c r="M15" s="456"/>
      <c r="N15" s="456"/>
      <c r="P15" s="155"/>
      <c r="Q15" s="452"/>
      <c r="R15" s="155"/>
      <c r="S15" s="457"/>
      <c r="T15" s="460" t="s">
        <v>268</v>
      </c>
      <c r="U15" s="459"/>
      <c r="V15" s="459"/>
      <c r="W15" s="459"/>
      <c r="X15" s="459"/>
      <c r="Y15" s="459"/>
      <c r="Z15" s="459"/>
      <c r="AA15" s="459"/>
      <c r="AB15" s="459"/>
      <c r="AC15" s="459"/>
      <c r="AD15" s="459"/>
      <c r="AE15" s="459"/>
      <c r="AF15" s="459"/>
      <c r="AG15" s="459"/>
      <c r="AH15" s="459"/>
      <c r="AI15" s="459"/>
      <c r="AJ15" s="459"/>
      <c r="AK15" s="459"/>
      <c r="AL15" s="459"/>
      <c r="AM15" s="459"/>
      <c r="AO15" s="117"/>
      <c r="AP15" s="117" t="str">
        <f aca="false">IF(T15="","",T15)</f>
        <v>Добавить территорию для дифференциации</v>
      </c>
      <c r="AQ15" s="117"/>
      <c r="AR15" s="117"/>
    </row>
    <row r="16" customFormat="false" ht="14.25" hidden="true" customHeight="true" outlineLevel="0" collapsed="false"/>
    <row r="17" customFormat="false" ht="14.25" hidden="true" customHeight="true" outlineLevel="0" collapsed="false">
      <c r="AD17" s="461"/>
      <c r="AE17" s="461"/>
      <c r="AF17" s="461"/>
      <c r="AG17" s="462"/>
      <c r="AH17" s="463"/>
      <c r="AI17" s="464" t="s">
        <v>63</v>
      </c>
      <c r="AJ17" s="463"/>
      <c r="AK17" s="464" t="s">
        <v>63</v>
      </c>
    </row>
    <row r="18" customFormat="false" ht="14.25" hidden="true" customHeight="true" outlineLevel="0" collapsed="false">
      <c r="AD18" s="461"/>
      <c r="AE18" s="461"/>
      <c r="AF18" s="461"/>
      <c r="AG18" s="443" t="str">
        <f aca="false">AH17&amp;"-"&amp;AJ17</f>
        <v>-</v>
      </c>
      <c r="AH18" s="463"/>
      <c r="AI18" s="463"/>
      <c r="AJ18" s="463"/>
      <c r="AK18" s="463"/>
    </row>
    <row r="19" customFormat="false" ht="14.25" hidden="true" customHeight="true" outlineLevel="0" collapsed="false"/>
    <row r="20" s="45" customFormat="true" ht="22.5" hidden="true" customHeight="true" outlineLevel="0" collapsed="false">
      <c r="L20" s="44"/>
      <c r="M20" s="51"/>
      <c r="N20" s="51"/>
      <c r="O20" s="465" t="s">
        <v>431</v>
      </c>
      <c r="P20" s="51"/>
      <c r="Q20" s="466"/>
      <c r="R20" s="466"/>
      <c r="S20" s="40"/>
      <c r="Z20" s="465"/>
      <c r="AB20" s="465"/>
      <c r="AH20" s="465"/>
      <c r="AJ20" s="465"/>
      <c r="AN20" s="47"/>
      <c r="AO20" s="47"/>
      <c r="AP20" s="47"/>
      <c r="AQ20" s="47"/>
      <c r="AR20" s="47"/>
    </row>
    <row r="21" s="45" customFormat="true" ht="14.25" hidden="true" customHeight="true" outlineLevel="0" collapsed="false">
      <c r="L21" s="44"/>
      <c r="M21" s="51"/>
      <c r="N21" s="51"/>
      <c r="O21" s="51"/>
      <c r="P21" s="51"/>
      <c r="Q21" s="466"/>
      <c r="R21" s="466"/>
      <c r="S21" s="40"/>
      <c r="AN21" s="47"/>
      <c r="AO21" s="47"/>
      <c r="AP21" s="47"/>
      <c r="AQ21" s="47"/>
      <c r="AR21" s="47"/>
    </row>
    <row r="22" s="45" customFormat="true" ht="14.25" hidden="true" customHeight="true" outlineLevel="0" collapsed="false">
      <c r="L22" s="44"/>
      <c r="M22" s="51"/>
      <c r="N22" s="51"/>
      <c r="O22" s="417" t="s">
        <v>432</v>
      </c>
      <c r="P22" s="51"/>
      <c r="Q22" s="466"/>
      <c r="R22" s="466"/>
      <c r="S22" s="40"/>
      <c r="T22" s="45" t="s">
        <v>433</v>
      </c>
      <c r="AA22" s="139" t="s">
        <v>434</v>
      </c>
      <c r="AC22" s="139" t="s">
        <v>435</v>
      </c>
      <c r="AD22" s="45" t="s">
        <v>433</v>
      </c>
      <c r="AI22" s="139" t="s">
        <v>436</v>
      </c>
      <c r="AK22" s="139" t="s">
        <v>435</v>
      </c>
      <c r="AN22" s="47"/>
      <c r="AO22" s="47"/>
      <c r="AP22" s="47"/>
      <c r="AQ22" s="47"/>
      <c r="AR22" s="47"/>
    </row>
    <row r="23" customFormat="false" ht="14.25" hidden="true" customHeight="true" outlineLevel="0" collapsed="false">
      <c r="O23" s="417"/>
    </row>
    <row r="24" customFormat="false" ht="14.25" hidden="true" customHeight="true" outlineLevel="0" collapsed="false">
      <c r="O24" s="417"/>
    </row>
    <row r="25" customFormat="false" ht="14.25" hidden="false" customHeight="true" outlineLevel="0" collapsed="false">
      <c r="Q25" s="467"/>
      <c r="R25" s="467"/>
      <c r="S25" s="468"/>
      <c r="T25" s="79"/>
      <c r="U25" s="79"/>
    </row>
    <row r="26" customFormat="false" ht="14.25" hidden="false" customHeight="true" outlineLevel="0" collapsed="false">
      <c r="Q26" s="467"/>
      <c r="R26" s="467"/>
      <c r="S26" s="212"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
      <c r="U26" s="212"/>
      <c r="V26" s="212"/>
      <c r="W26" s="212"/>
      <c r="X26" s="212"/>
      <c r="Y26" s="212"/>
      <c r="Z26" s="212"/>
      <c r="AA26" s="212"/>
      <c r="AB26" s="212"/>
      <c r="AC26" s="212"/>
      <c r="AD26" s="212"/>
      <c r="AE26" s="212"/>
      <c r="AF26" s="212"/>
      <c r="AG26" s="212"/>
      <c r="AH26" s="212"/>
      <c r="AI26" s="212"/>
      <c r="AJ26" s="212"/>
      <c r="AK26" s="214"/>
    </row>
    <row r="27" customFormat="false" ht="14.25" hidden="false" customHeight="true" outlineLevel="0" collapsed="false">
      <c r="Q27" s="467"/>
      <c r="R27" s="467"/>
      <c r="S27" s="265" t="str">
        <f aca="false">IF(org=0,"Не определено",org)</f>
        <v>ООО "Газпром теплоэнерго Ярославль"</v>
      </c>
      <c r="T27" s="265"/>
      <c r="U27" s="265"/>
      <c r="V27" s="265"/>
      <c r="W27" s="265"/>
      <c r="X27" s="265"/>
      <c r="Y27" s="265"/>
      <c r="Z27" s="265"/>
      <c r="AA27" s="265"/>
      <c r="AB27" s="265"/>
      <c r="AC27" s="265"/>
      <c r="AD27" s="265"/>
      <c r="AE27" s="265"/>
      <c r="AF27" s="265"/>
      <c r="AG27" s="265"/>
      <c r="AH27" s="265"/>
      <c r="AI27" s="265"/>
      <c r="AJ27" s="265"/>
      <c r="AK27" s="214"/>
    </row>
    <row r="28" customFormat="false" ht="14.25" hidden="false" customHeight="true" outlineLevel="0" collapsed="false">
      <c r="Q28" s="467"/>
      <c r="R28" s="467"/>
      <c r="S28" s="468"/>
      <c r="T28" s="79"/>
      <c r="U28" s="79"/>
      <c r="V28" s="469"/>
      <c r="W28" s="469"/>
      <c r="X28" s="469"/>
      <c r="Y28" s="469"/>
      <c r="Z28" s="469"/>
      <c r="AA28" s="469"/>
      <c r="AB28" s="469"/>
      <c r="AC28" s="469"/>
      <c r="AD28" s="469"/>
      <c r="AE28" s="469"/>
      <c r="AF28" s="469"/>
      <c r="AG28" s="469"/>
      <c r="AH28" s="469"/>
      <c r="AI28" s="469"/>
      <c r="AJ28" s="469"/>
      <c r="AK28" s="469"/>
    </row>
    <row r="29" s="174" customFormat="true" ht="25.5" hidden="false" customHeight="true" outlineLevel="0" collapsed="false">
      <c r="A29" s="139"/>
      <c r="B29" s="139"/>
      <c r="C29" s="139"/>
      <c r="D29" s="139"/>
      <c r="E29" s="139"/>
      <c r="F29" s="139"/>
      <c r="G29" s="139"/>
      <c r="H29" s="139"/>
      <c r="I29" s="139"/>
      <c r="J29" s="139"/>
      <c r="K29" s="139"/>
      <c r="L29" s="417"/>
      <c r="M29" s="139"/>
      <c r="N29" s="139"/>
      <c r="O29" s="139"/>
      <c r="S29" s="470" t="s">
        <v>37</v>
      </c>
      <c r="T29" s="470"/>
      <c r="U29" s="471"/>
      <c r="V29" s="472" t="str">
        <f aca="false">IF(TITLE_NAME_OR_PR_CHANGE="",IF(TITLE_NAME_OR_PR="","",TITLE_NAME_OR_PR),TITLE_NAME_OR_PR_CHANGE)</f>
        <v>Министерство тарифного регулирования Ярославской области</v>
      </c>
      <c r="W29" s="472"/>
      <c r="X29" s="472"/>
      <c r="Y29" s="472"/>
      <c r="Z29" s="472"/>
      <c r="AA29" s="472"/>
      <c r="AB29" s="472"/>
      <c r="AC29" s="42"/>
      <c r="AD29" s="472" t="str">
        <f aca="false">IF(TITLE_NAME_OR_PR_CHANGE="",IF(TITLE_NAME_OR_PR="","",TITLE_NAME_OR_PR),TITLE_NAME_OR_PR_CHANGE)</f>
        <v>Министерство тарифного регулирования Ярославской области</v>
      </c>
      <c r="AE29" s="472"/>
      <c r="AF29" s="472"/>
      <c r="AG29" s="472"/>
      <c r="AH29" s="472"/>
      <c r="AI29" s="472"/>
      <c r="AJ29" s="472"/>
      <c r="AK29" s="42"/>
      <c r="AL29" s="42"/>
      <c r="AM29" s="473"/>
      <c r="AN29" s="117"/>
      <c r="AO29" s="117"/>
      <c r="AP29" s="117"/>
      <c r="AQ29" s="117"/>
      <c r="AR29" s="117"/>
    </row>
    <row r="30" s="174" customFormat="true" ht="18.75" hidden="false" customHeight="true" outlineLevel="0" collapsed="false">
      <c r="A30" s="139"/>
      <c r="B30" s="139"/>
      <c r="C30" s="139"/>
      <c r="D30" s="139"/>
      <c r="E30" s="139"/>
      <c r="F30" s="139"/>
      <c r="G30" s="139"/>
      <c r="H30" s="139"/>
      <c r="I30" s="139"/>
      <c r="J30" s="139"/>
      <c r="K30" s="139"/>
      <c r="L30" s="417"/>
      <c r="M30" s="139"/>
      <c r="N30" s="139"/>
      <c r="O30" s="139"/>
      <c r="S30" s="470" t="s">
        <v>437</v>
      </c>
      <c r="T30" s="470"/>
      <c r="U30" s="471"/>
      <c r="V30" s="474" t="str">
        <f aca="false">IF(TITLE_DATE_PR_CHANGE="",IF(TITLE_DATE_PR="","",TITLE_DATE_PR),TITLE_DATE_PR_CHANGE)</f>
        <v>45279.46460648148</v>
      </c>
      <c r="W30" s="474"/>
      <c r="X30" s="474"/>
      <c r="Y30" s="474"/>
      <c r="Z30" s="474"/>
      <c r="AA30" s="474"/>
      <c r="AB30" s="474"/>
      <c r="AC30" s="42"/>
      <c r="AD30" s="474" t="str">
        <f aca="false">IF(TITLE_DATE_PR_CHANGE="",IF(TITLE_DATE_PR="","",TITLE_DATE_PR),TITLE_DATE_PR_CHANGE)</f>
        <v>45279.46460648148</v>
      </c>
      <c r="AE30" s="474"/>
      <c r="AF30" s="474"/>
      <c r="AG30" s="474"/>
      <c r="AH30" s="474"/>
      <c r="AI30" s="474"/>
      <c r="AJ30" s="474"/>
      <c r="AK30" s="42"/>
      <c r="AL30" s="42"/>
      <c r="AM30" s="473"/>
      <c r="AN30" s="117"/>
      <c r="AO30" s="117"/>
      <c r="AP30" s="117"/>
      <c r="AQ30" s="117"/>
      <c r="AR30" s="117"/>
    </row>
    <row r="31" s="174" customFormat="true" ht="18.75" hidden="false" customHeight="true" outlineLevel="0" collapsed="false">
      <c r="A31" s="139"/>
      <c r="B31" s="139"/>
      <c r="C31" s="139"/>
      <c r="D31" s="139"/>
      <c r="E31" s="139"/>
      <c r="F31" s="139"/>
      <c r="G31" s="139"/>
      <c r="H31" s="139"/>
      <c r="I31" s="139"/>
      <c r="J31" s="139"/>
      <c r="K31" s="139"/>
      <c r="L31" s="417"/>
      <c r="M31" s="139"/>
      <c r="N31" s="139"/>
      <c r="O31" s="139"/>
      <c r="S31" s="470" t="s">
        <v>438</v>
      </c>
      <c r="T31" s="470"/>
      <c r="U31" s="471"/>
      <c r="V31" s="472" t="str">
        <f aca="false">IF(TITLE_NUMBER_PR_CHANGE="",IF(TITLE_NUMBER_PR="","",TITLE_NUMBER_PR),TITLE_NUMBER_PR_CHANGE)</f>
        <v>403-гвс, 404-гвс, 406-гвс</v>
      </c>
      <c r="W31" s="472"/>
      <c r="X31" s="472"/>
      <c r="Y31" s="472"/>
      <c r="Z31" s="472"/>
      <c r="AA31" s="472"/>
      <c r="AB31" s="472"/>
      <c r="AC31" s="42"/>
      <c r="AD31" s="472" t="str">
        <f aca="false">IF(TITLE_NUMBER_PR_CHANGE="",IF(TITLE_NUMBER_PR="","",TITLE_NUMBER_PR),TITLE_NUMBER_PR_CHANGE)</f>
        <v>403-гвс, 404-гвс, 406-гвс</v>
      </c>
      <c r="AE31" s="472"/>
      <c r="AF31" s="472"/>
      <c r="AG31" s="472"/>
      <c r="AH31" s="472"/>
      <c r="AI31" s="472"/>
      <c r="AJ31" s="472"/>
      <c r="AK31" s="42"/>
      <c r="AL31" s="42"/>
      <c r="AM31" s="473"/>
      <c r="AN31" s="117"/>
      <c r="AO31" s="117"/>
      <c r="AP31" s="117"/>
      <c r="AQ31" s="117"/>
      <c r="AR31" s="117"/>
    </row>
    <row r="32" s="174" customFormat="true" ht="18.75" hidden="false" customHeight="true" outlineLevel="0" collapsed="false">
      <c r="A32" s="139"/>
      <c r="B32" s="139"/>
      <c r="C32" s="139"/>
      <c r="D32" s="139"/>
      <c r="E32" s="139"/>
      <c r="F32" s="139"/>
      <c r="G32" s="139"/>
      <c r="H32" s="139"/>
      <c r="I32" s="139"/>
      <c r="J32" s="139"/>
      <c r="K32" s="139"/>
      <c r="L32" s="417"/>
      <c r="M32" s="139"/>
      <c r="N32" s="139"/>
      <c r="O32" s="139"/>
      <c r="S32" s="470" t="s">
        <v>39</v>
      </c>
      <c r="T32" s="470"/>
      <c r="U32" s="471"/>
      <c r="V32" s="472" t="str">
        <f aca="false">IF(TITLE_IST_PUB_CHANGE="",IF(TITLE_IST_PUB="","",TITLE_IST_PUB),TITLE_IST_PUB_CHANGE)</f>
        <v>официальный интернет- портал правовой информации www.pravo.gov.ru</v>
      </c>
      <c r="W32" s="472"/>
      <c r="X32" s="472"/>
      <c r="Y32" s="472"/>
      <c r="Z32" s="472"/>
      <c r="AA32" s="472"/>
      <c r="AB32" s="472"/>
      <c r="AC32" s="42"/>
      <c r="AD32" s="472" t="str">
        <f aca="false">IF(TITLE_IST_PUB_CHANGE="",IF(TITLE_IST_PUB="","",TITLE_IST_PUB),TITLE_IST_PUB_CHANGE)</f>
        <v>официальный интернет- портал правовой информации www.pravo.gov.ru</v>
      </c>
      <c r="AE32" s="472"/>
      <c r="AF32" s="472"/>
      <c r="AG32" s="472"/>
      <c r="AH32" s="472"/>
      <c r="AI32" s="472"/>
      <c r="AJ32" s="472"/>
      <c r="AK32" s="42"/>
      <c r="AL32" s="42"/>
      <c r="AM32" s="473"/>
      <c r="AN32" s="117"/>
      <c r="AO32" s="117"/>
      <c r="AP32" s="117"/>
      <c r="AQ32" s="117"/>
      <c r="AR32" s="117"/>
    </row>
    <row r="33" customFormat="false" ht="14.25" hidden="true" customHeight="true" outlineLevel="0" collapsed="false">
      <c r="Q33" s="467"/>
      <c r="R33" s="467"/>
      <c r="S33" s="468"/>
      <c r="T33" s="79"/>
      <c r="U33" s="79"/>
      <c r="V33" s="469"/>
      <c r="W33" s="469"/>
      <c r="X33" s="469"/>
      <c r="Y33" s="469"/>
      <c r="Z33" s="469"/>
      <c r="AA33" s="469"/>
      <c r="AB33" s="469"/>
      <c r="AC33" s="469"/>
      <c r="AD33" s="469"/>
      <c r="AE33" s="469"/>
      <c r="AF33" s="469"/>
      <c r="AG33" s="469"/>
      <c r="AH33" s="469"/>
      <c r="AI33" s="469"/>
      <c r="AJ33" s="469"/>
      <c r="AK33" s="469"/>
    </row>
    <row r="34" s="174" customFormat="true" ht="18.75" hidden="true" customHeight="true" outlineLevel="0" collapsed="false">
      <c r="A34" s="139"/>
      <c r="B34" s="139"/>
      <c r="C34" s="139"/>
      <c r="D34" s="139"/>
      <c r="E34" s="139"/>
      <c r="F34" s="139"/>
      <c r="G34" s="139"/>
      <c r="H34" s="139"/>
      <c r="I34" s="139"/>
      <c r="J34" s="139"/>
      <c r="K34" s="139"/>
      <c r="L34" s="417"/>
      <c r="M34" s="139"/>
      <c r="N34" s="139"/>
      <c r="O34" s="139"/>
      <c r="S34" s="470" t="s">
        <v>439</v>
      </c>
      <c r="T34" s="470"/>
      <c r="U34" s="471"/>
      <c r="V34" s="474" t="str">
        <f aca="false">IF(TITLE_DATE_PR_CHANGE="",IF(TITLE_DATE_PR="","",TITLE_DATE_PR),TITLE_DATE_PR_CHANGE)</f>
        <v>45279.46460648148</v>
      </c>
      <c r="W34" s="474"/>
      <c r="X34" s="474"/>
      <c r="Y34" s="474"/>
      <c r="Z34" s="474"/>
      <c r="AA34" s="474"/>
      <c r="AB34" s="474"/>
      <c r="AC34" s="42"/>
      <c r="AD34" s="474" t="str">
        <f aca="false">IF(TITLE_DATE_PR_CHANGE="",IF(TITLE_DATE_PR="","",TITLE_DATE_PR),TITLE_DATE_PR_CHANGE)</f>
        <v>45279.46460648148</v>
      </c>
      <c r="AE34" s="474"/>
      <c r="AF34" s="474"/>
      <c r="AG34" s="474"/>
      <c r="AH34" s="474"/>
      <c r="AI34" s="474"/>
      <c r="AJ34" s="474"/>
      <c r="AK34" s="42"/>
      <c r="AL34" s="42"/>
      <c r="AM34" s="473"/>
      <c r="AN34" s="117"/>
      <c r="AO34" s="117"/>
      <c r="AP34" s="117"/>
      <c r="AQ34" s="117"/>
      <c r="AR34" s="117"/>
    </row>
    <row r="35" s="174" customFormat="true" ht="18.75" hidden="true" customHeight="true" outlineLevel="0" collapsed="false">
      <c r="A35" s="139"/>
      <c r="B35" s="139"/>
      <c r="C35" s="139"/>
      <c r="D35" s="139"/>
      <c r="E35" s="139"/>
      <c r="F35" s="139"/>
      <c r="G35" s="139"/>
      <c r="H35" s="139"/>
      <c r="I35" s="139"/>
      <c r="J35" s="139"/>
      <c r="K35" s="139"/>
      <c r="L35" s="417"/>
      <c r="M35" s="139"/>
      <c r="N35" s="139"/>
      <c r="O35" s="139"/>
      <c r="S35" s="470" t="s">
        <v>440</v>
      </c>
      <c r="T35" s="470"/>
      <c r="U35" s="471"/>
      <c r="V35" s="472" t="str">
        <f aca="false">IF(TITLE_NUMBER_PR_CHANGE="",IF(TITLE_NUMBER_PR="","",TITLE_NUMBER_PR),TITLE_NUMBER_PR_CHANGE)</f>
        <v>403-гвс, 404-гвс, 406-гвс</v>
      </c>
      <c r="W35" s="472"/>
      <c r="X35" s="472"/>
      <c r="Y35" s="472"/>
      <c r="Z35" s="472"/>
      <c r="AA35" s="472"/>
      <c r="AB35" s="472"/>
      <c r="AC35" s="42"/>
      <c r="AD35" s="472" t="str">
        <f aca="false">IF(TITLE_NUMBER_PR_CHANGE="",IF(TITLE_NUMBER_PR="","",TITLE_NUMBER_PR),TITLE_NUMBER_PR_CHANGE)</f>
        <v>403-гвс, 404-гвс, 406-гвс</v>
      </c>
      <c r="AE35" s="472"/>
      <c r="AF35" s="472"/>
      <c r="AG35" s="472"/>
      <c r="AH35" s="472"/>
      <c r="AI35" s="472"/>
      <c r="AJ35" s="472"/>
      <c r="AK35" s="42"/>
      <c r="AL35" s="42"/>
      <c r="AM35" s="473"/>
      <c r="AN35" s="117"/>
      <c r="AO35" s="117"/>
      <c r="AP35" s="117"/>
      <c r="AQ35" s="117"/>
      <c r="AR35" s="117"/>
    </row>
    <row r="36" s="174" customFormat="true" ht="12.8" hidden="false" customHeight="false" outlineLevel="0" collapsed="false">
      <c r="A36" s="139"/>
      <c r="B36" s="139"/>
      <c r="C36" s="139"/>
      <c r="D36" s="139"/>
      <c r="E36" s="139"/>
      <c r="F36" s="139"/>
      <c r="G36" s="139"/>
      <c r="H36" s="139"/>
      <c r="I36" s="139"/>
      <c r="J36" s="139"/>
      <c r="K36" s="139"/>
      <c r="L36" s="417"/>
      <c r="M36" s="139"/>
      <c r="N36" s="139"/>
      <c r="O36" s="139"/>
      <c r="S36" s="42"/>
      <c r="T36" s="42"/>
      <c r="U36" s="127"/>
      <c r="V36" s="42"/>
      <c r="W36" s="42"/>
      <c r="X36" s="42"/>
      <c r="Y36" s="42"/>
      <c r="Z36" s="42"/>
      <c r="AA36" s="42"/>
      <c r="AB36" s="42"/>
      <c r="AC36" s="47" t="s">
        <v>441</v>
      </c>
      <c r="AD36" s="42"/>
      <c r="AE36" s="42"/>
      <c r="AF36" s="42"/>
      <c r="AG36" s="42"/>
      <c r="AH36" s="42"/>
      <c r="AI36" s="42"/>
      <c r="AJ36" s="42"/>
      <c r="AK36" s="47" t="s">
        <v>441</v>
      </c>
      <c r="AN36" s="117"/>
      <c r="AO36" s="117"/>
      <c r="AP36" s="117"/>
      <c r="AQ36" s="117"/>
      <c r="AR36" s="117"/>
    </row>
    <row r="37" customFormat="false" ht="14.25" hidden="false" customHeight="true" outlineLevel="0" collapsed="false">
      <c r="Q37" s="467"/>
      <c r="R37" s="467"/>
      <c r="S37" s="468"/>
      <c r="T37" s="79"/>
      <c r="U37" s="475"/>
      <c r="V37" s="476"/>
      <c r="W37" s="476"/>
      <c r="X37" s="476"/>
      <c r="Y37" s="476"/>
      <c r="Z37" s="476"/>
      <c r="AA37" s="476"/>
      <c r="AB37" s="476"/>
      <c r="AC37" s="476"/>
      <c r="AD37" s="476"/>
      <c r="AE37" s="476"/>
      <c r="AF37" s="476"/>
      <c r="AG37" s="476"/>
      <c r="AH37" s="476"/>
      <c r="AI37" s="476"/>
      <c r="AJ37" s="476"/>
      <c r="AK37" s="476"/>
    </row>
    <row r="38" customFormat="false" ht="14.25" hidden="false" customHeight="true" outlineLevel="0" collapsed="false">
      <c r="Q38" s="467"/>
      <c r="R38" s="467"/>
      <c r="S38" s="133" t="s">
        <v>316</v>
      </c>
      <c r="T38" s="133"/>
      <c r="U38" s="133"/>
      <c r="V38" s="133"/>
      <c r="W38" s="133"/>
      <c r="X38" s="133"/>
      <c r="Y38" s="133"/>
      <c r="Z38" s="133"/>
      <c r="AA38" s="133"/>
      <c r="AB38" s="133"/>
      <c r="AC38" s="133"/>
      <c r="AD38" s="133"/>
      <c r="AE38" s="133"/>
      <c r="AF38" s="133"/>
      <c r="AG38" s="133"/>
      <c r="AH38" s="133"/>
      <c r="AI38" s="133"/>
      <c r="AJ38" s="133"/>
      <c r="AK38" s="133"/>
      <c r="AL38" s="133"/>
      <c r="AM38" s="133" t="s">
        <v>317</v>
      </c>
    </row>
    <row r="39" customFormat="false" ht="14.25" hidden="false" customHeight="true" outlineLevel="0" collapsed="false">
      <c r="Q39" s="467"/>
      <c r="R39" s="467"/>
      <c r="S39" s="477" t="s">
        <v>84</v>
      </c>
      <c r="T39" s="394" t="s">
        <v>442</v>
      </c>
      <c r="U39" s="478"/>
      <c r="V39" s="300" t="s">
        <v>443</v>
      </c>
      <c r="W39" s="300"/>
      <c r="X39" s="300"/>
      <c r="Y39" s="300"/>
      <c r="Z39" s="300"/>
      <c r="AA39" s="300"/>
      <c r="AB39" s="300"/>
      <c r="AC39" s="394" t="s">
        <v>444</v>
      </c>
      <c r="AD39" s="300" t="s">
        <v>443</v>
      </c>
      <c r="AE39" s="300"/>
      <c r="AF39" s="300"/>
      <c r="AG39" s="300"/>
      <c r="AH39" s="300"/>
      <c r="AI39" s="300"/>
      <c r="AJ39" s="300"/>
      <c r="AK39" s="394" t="s">
        <v>445</v>
      </c>
      <c r="AL39" s="479" t="s">
        <v>446</v>
      </c>
      <c r="AM39" s="133"/>
    </row>
    <row r="40" customFormat="false" ht="33.75" hidden="false" customHeight="true" outlineLevel="0" collapsed="false">
      <c r="Q40" s="467"/>
      <c r="R40" s="467"/>
      <c r="S40" s="477"/>
      <c r="T40" s="394"/>
      <c r="U40" s="480"/>
      <c r="V40" s="133" t="s">
        <v>447</v>
      </c>
      <c r="W40" s="431" t="s">
        <v>448</v>
      </c>
      <c r="X40" s="133" t="s">
        <v>449</v>
      </c>
      <c r="Y40" s="133"/>
      <c r="Z40" s="133" t="s">
        <v>462</v>
      </c>
      <c r="AA40" s="133"/>
      <c r="AB40" s="133"/>
      <c r="AC40" s="394"/>
      <c r="AD40" s="133" t="s">
        <v>447</v>
      </c>
      <c r="AE40" s="431" t="s">
        <v>448</v>
      </c>
      <c r="AF40" s="133" t="s">
        <v>449</v>
      </c>
      <c r="AG40" s="133"/>
      <c r="AH40" s="133" t="s">
        <v>450</v>
      </c>
      <c r="AI40" s="133"/>
      <c r="AJ40" s="133"/>
      <c r="AK40" s="394"/>
      <c r="AL40" s="479"/>
      <c r="AM40" s="133"/>
    </row>
    <row r="41" customFormat="false" ht="33.75" hidden="false" customHeight="true" outlineLevel="0" collapsed="false">
      <c r="A41" s="139"/>
      <c r="B41" s="139" t="s">
        <v>142</v>
      </c>
      <c r="C41" s="139" t="s">
        <v>143</v>
      </c>
      <c r="D41" s="139" t="s">
        <v>144</v>
      </c>
      <c r="E41" s="417" t="s">
        <v>451</v>
      </c>
      <c r="F41" s="417" t="s">
        <v>452</v>
      </c>
      <c r="G41" s="417" t="s">
        <v>453</v>
      </c>
      <c r="H41" s="417" t="s">
        <v>454</v>
      </c>
      <c r="I41" s="417" t="s">
        <v>455</v>
      </c>
      <c r="J41" s="417" t="s">
        <v>456</v>
      </c>
      <c r="K41" s="417" t="s">
        <v>457</v>
      </c>
      <c r="L41" s="417" t="s">
        <v>432</v>
      </c>
      <c r="Q41" s="467"/>
      <c r="R41" s="467"/>
      <c r="S41" s="477"/>
      <c r="T41" s="394"/>
      <c r="U41" s="481"/>
      <c r="V41" s="133"/>
      <c r="W41" s="431"/>
      <c r="X41" s="184" t="s">
        <v>458</v>
      </c>
      <c r="Y41" s="184" t="s">
        <v>459</v>
      </c>
      <c r="Z41" s="184" t="s">
        <v>460</v>
      </c>
      <c r="AA41" s="184" t="s">
        <v>461</v>
      </c>
      <c r="AB41" s="184"/>
      <c r="AC41" s="394"/>
      <c r="AD41" s="133"/>
      <c r="AE41" s="431"/>
      <c r="AF41" s="184" t="s">
        <v>458</v>
      </c>
      <c r="AG41" s="184" t="s">
        <v>459</v>
      </c>
      <c r="AH41" s="184" t="s">
        <v>460</v>
      </c>
      <c r="AI41" s="184" t="s">
        <v>461</v>
      </c>
      <c r="AJ41" s="184"/>
      <c r="AK41" s="394"/>
      <c r="AL41" s="479"/>
      <c r="AM41" s="133"/>
    </row>
    <row r="42" s="119" customFormat="true" ht="11.25" hidden="true" customHeight="true" outlineLevel="0" collapsed="false">
      <c r="A42" s="139"/>
      <c r="B42" s="139"/>
      <c r="C42" s="139"/>
      <c r="D42" s="139"/>
      <c r="E42" s="139"/>
      <c r="F42" s="139"/>
      <c r="G42" s="139"/>
      <c r="H42" s="139"/>
      <c r="I42" s="139"/>
      <c r="J42" s="139"/>
      <c r="K42" s="139"/>
      <c r="L42" s="417"/>
      <c r="M42" s="51"/>
      <c r="N42" s="51"/>
      <c r="O42" s="51"/>
      <c r="P42" s="482"/>
      <c r="Q42" s="483"/>
      <c r="R42" s="484" t="n">
        <v>1</v>
      </c>
      <c r="S42" s="485" t="s">
        <v>117</v>
      </c>
      <c r="T42" s="486" t="s">
        <v>99</v>
      </c>
      <c r="U42" s="487" t="str">
        <f aca="true">OFFSET(U42,0,-1)</f>
        <v>2</v>
      </c>
      <c r="V42" s="488" t="n">
        <f aca="true">OFFSET(V42,0,-1)+1</f>
        <v>3</v>
      </c>
      <c r="W42" s="488"/>
      <c r="X42" s="488" t="n">
        <f aca="true">OFFSET(X42,0,-1)+1</f>
        <v>1</v>
      </c>
      <c r="Y42" s="488" t="n">
        <f aca="true">OFFSET(Y42,0,-1)+1</f>
        <v>2</v>
      </c>
      <c r="Z42" s="488" t="n">
        <f aca="true">OFFSET(Z42,0,-1)+1</f>
        <v>3</v>
      </c>
      <c r="AA42" s="488" t="n">
        <f aca="true">OFFSET(AA42,0,-1)+1</f>
        <v>4</v>
      </c>
      <c r="AB42" s="488"/>
      <c r="AC42" s="488" t="n">
        <f aca="true">OFFSET(AC42,0,-2)+1</f>
        <v>5</v>
      </c>
      <c r="AD42" s="488" t="n">
        <f aca="true">OFFSET(AD42,0,-1)+1</f>
        <v>6</v>
      </c>
      <c r="AE42" s="488"/>
      <c r="AF42" s="488" t="n">
        <f aca="true">OFFSET(AF42,0,-1)+1</f>
        <v>1</v>
      </c>
      <c r="AG42" s="488" t="n">
        <f aca="true">OFFSET(AG42,0,-1)+1</f>
        <v>2</v>
      </c>
      <c r="AH42" s="488" t="n">
        <f aca="true">OFFSET(AH42,0,-1)+1</f>
        <v>3</v>
      </c>
      <c r="AI42" s="488" t="n">
        <f aca="true">OFFSET(AI42,0,-1)+1</f>
        <v>4</v>
      </c>
      <c r="AJ42" s="488"/>
      <c r="AK42" s="488" t="n">
        <f aca="true">OFFSET(AK42,0,-2)+1</f>
        <v>5</v>
      </c>
      <c r="AL42" s="487" t="n">
        <f aca="true">OFFSET(AL42,0,-1)</f>
        <v>5</v>
      </c>
      <c r="AM42" s="488" t="n">
        <f aca="true">OFFSET(AM42,0,-1)+1</f>
        <v>6</v>
      </c>
      <c r="AN42" s="47"/>
      <c r="AO42" s="47"/>
      <c r="AP42" s="47"/>
      <c r="AQ42" s="47"/>
      <c r="AR42" s="47"/>
    </row>
    <row r="43" customFormat="false" ht="21" hidden="false" customHeight="true" outlineLevel="0" collapsed="false">
      <c r="A43" s="415" t="s">
        <v>169</v>
      </c>
      <c r="B43" s="415"/>
      <c r="C43" s="415"/>
      <c r="D43" s="415"/>
      <c r="E43" s="416" t="n">
        <v>1</v>
      </c>
      <c r="F43" s="415"/>
      <c r="G43" s="415"/>
      <c r="H43" s="415"/>
      <c r="I43" s="415"/>
      <c r="J43" s="415"/>
      <c r="K43" s="415"/>
      <c r="L43" s="417"/>
      <c r="M43" s="40"/>
      <c r="N43" s="40"/>
      <c r="O43" s="40"/>
      <c r="Q43" s="131"/>
      <c r="R43" s="418"/>
      <c r="S43" s="419" t="n">
        <f aca="false">INDEX(PT_DIFFERENTIATION_NUM_NTAR,MATCH(A43,PT_DIFFERENTIATION_NTAR_ID,0))</f>
        <v>0</v>
      </c>
      <c r="T43" s="420" t="s">
        <v>130</v>
      </c>
      <c r="U43" s="421"/>
      <c r="V43" s="422"/>
      <c r="W43" s="422"/>
      <c r="X43" s="422"/>
      <c r="Y43" s="422"/>
      <c r="Z43" s="422"/>
      <c r="AA43" s="422"/>
      <c r="AB43" s="422"/>
      <c r="AC43" s="422"/>
      <c r="AD43" s="423" t="str">
        <f aca="false">INDEX(PT_DIFFERENTIATION_NTAR,MATCH(A43,PT_DIFFERENTIATION_NTAR_ID,0))</f>
        <v/>
      </c>
      <c r="AE43" s="423"/>
      <c r="AF43" s="423"/>
      <c r="AG43" s="423"/>
      <c r="AH43" s="423"/>
      <c r="AI43" s="423"/>
      <c r="AJ43" s="423"/>
      <c r="AK43" s="423"/>
      <c r="AL43" s="423"/>
      <c r="AM43" s="424"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7"/>
      <c r="AP43" s="117" t="str">
        <f aca="false">IF(T43="","",T43)</f>
        <v>Наименование тарифа</v>
      </c>
      <c r="AQ43" s="117"/>
      <c r="AR43" s="117"/>
    </row>
    <row r="44" customFormat="false" ht="21" hidden="false" customHeight="true" outlineLevel="0" collapsed="false">
      <c r="A44" s="415" t="s">
        <v>169</v>
      </c>
      <c r="B44" s="415" t="s">
        <v>170</v>
      </c>
      <c r="C44" s="415"/>
      <c r="D44" s="415"/>
      <c r="E44" s="416"/>
      <c r="F44" s="416" t="n">
        <v>1</v>
      </c>
      <c r="G44" s="415"/>
      <c r="H44" s="415"/>
      <c r="I44" s="415"/>
      <c r="J44" s="415"/>
      <c r="K44" s="415"/>
      <c r="L44" s="417"/>
      <c r="M44" s="40"/>
      <c r="N44" s="40"/>
      <c r="O44" s="40"/>
      <c r="P44" s="43"/>
      <c r="Q44" s="425"/>
      <c r="R44" s="426"/>
      <c r="S44" s="419" t="str">
        <f aca="false">INDEX(PT_DIFFERENTIATION_NUM_TER,MATCH(B44,PT_DIFFERENTIATION_TER_ID,0))</f>
        <v>.</v>
      </c>
      <c r="T44" s="427" t="s">
        <v>413</v>
      </c>
      <c r="U44" s="421"/>
      <c r="V44" s="422"/>
      <c r="W44" s="422"/>
      <c r="X44" s="422"/>
      <c r="Y44" s="422"/>
      <c r="Z44" s="422"/>
      <c r="AA44" s="422"/>
      <c r="AB44" s="422"/>
      <c r="AC44" s="422"/>
      <c r="AD44" s="423" t="str">
        <f aca="false">INDEX(PT_DIFFERENTIATION_TER,MATCH(B44,PT_DIFFERENTIATION_TER_ID,0))</f>
        <v/>
      </c>
      <c r="AE44" s="423"/>
      <c r="AF44" s="423"/>
      <c r="AG44" s="423"/>
      <c r="AH44" s="423"/>
      <c r="AI44" s="423"/>
      <c r="AJ44" s="423"/>
      <c r="AK44" s="423"/>
      <c r="AL44" s="423"/>
      <c r="AM44" s="424" t="s">
        <v>414</v>
      </c>
      <c r="AO44" s="117"/>
      <c r="AP44" s="117" t="str">
        <f aca="false">IF(T44="","",T44)</f>
        <v>Территория действия тарифа</v>
      </c>
      <c r="AQ44" s="117"/>
      <c r="AR44" s="117"/>
    </row>
    <row r="45" customFormat="false" ht="23.25" hidden="false" customHeight="true" outlineLevel="0" collapsed="false">
      <c r="A45" s="415" t="s">
        <v>169</v>
      </c>
      <c r="B45" s="415" t="s">
        <v>170</v>
      </c>
      <c r="C45" s="415" t="s">
        <v>171</v>
      </c>
      <c r="D45" s="415"/>
      <c r="E45" s="416"/>
      <c r="F45" s="416"/>
      <c r="G45" s="416" t="n">
        <v>1</v>
      </c>
      <c r="H45" s="415"/>
      <c r="I45" s="415"/>
      <c r="J45" s="415"/>
      <c r="K45" s="415"/>
      <c r="L45" s="417"/>
      <c r="M45" s="40"/>
      <c r="N45" s="40"/>
      <c r="O45" s="40"/>
      <c r="P45" s="428"/>
      <c r="Q45" s="425"/>
      <c r="R45" s="426"/>
      <c r="S45" s="419" t="str">
        <f aca="false">INDEX(PT_DIFFERENTIATION_NUM_CS,MATCH(C45,PT_DIFFERENTIATION_CS_ID,0))</f>
        <v>..</v>
      </c>
      <c r="T45" s="429" t="s">
        <v>415</v>
      </c>
      <c r="U45" s="421"/>
      <c r="V45" s="422"/>
      <c r="W45" s="422"/>
      <c r="X45" s="422"/>
      <c r="Y45" s="422"/>
      <c r="Z45" s="422"/>
      <c r="AA45" s="422"/>
      <c r="AB45" s="422"/>
      <c r="AC45" s="422"/>
      <c r="AD45" s="423" t="str">
        <f aca="false">INDEX(PT_DIFFERENTIATION_CS,MATCH(C45,PT_DIFFERENTIATION_CS_ID,0))</f>
        <v/>
      </c>
      <c r="AE45" s="423"/>
      <c r="AF45" s="423"/>
      <c r="AG45" s="423"/>
      <c r="AH45" s="423"/>
      <c r="AI45" s="423"/>
      <c r="AJ45" s="423"/>
      <c r="AK45" s="423"/>
      <c r="AL45" s="423"/>
      <c r="AM45" s="424" t="s">
        <v>416</v>
      </c>
      <c r="AO45" s="117"/>
      <c r="AP45" s="117" t="str">
        <f aca="false">IF(T45="","",T45)</f>
        <v>Наименование системы теплоснабжения</v>
      </c>
      <c r="AQ45" s="117"/>
      <c r="AR45" s="117"/>
    </row>
    <row r="46" customFormat="false" ht="21" hidden="false" customHeight="true" outlineLevel="0" collapsed="false">
      <c r="A46" s="415" t="s">
        <v>169</v>
      </c>
      <c r="B46" s="415" t="s">
        <v>170</v>
      </c>
      <c r="C46" s="415" t="s">
        <v>171</v>
      </c>
      <c r="D46" s="415" t="s">
        <v>172</v>
      </c>
      <c r="E46" s="416"/>
      <c r="F46" s="416"/>
      <c r="G46" s="416"/>
      <c r="H46" s="416" t="n">
        <v>1</v>
      </c>
      <c r="I46" s="415"/>
      <c r="J46" s="415"/>
      <c r="K46" s="415"/>
      <c r="L46" s="417"/>
      <c r="M46" s="40"/>
      <c r="N46" s="40"/>
      <c r="O46" s="40"/>
      <c r="P46" s="428"/>
      <c r="Q46" s="425"/>
      <c r="R46" s="426"/>
      <c r="S46" s="419" t="str">
        <f aca="false">INDEX(PT_DIFFERENTIATION_NUM_IST_TE,MATCH(D46,PT_DIFFERENTIATION_IST_TE_ID,0))</f>
        <v>...</v>
      </c>
      <c r="T46" s="430" t="s">
        <v>417</v>
      </c>
      <c r="U46" s="421"/>
      <c r="V46" s="422"/>
      <c r="W46" s="422"/>
      <c r="X46" s="422"/>
      <c r="Y46" s="422"/>
      <c r="Z46" s="422"/>
      <c r="AA46" s="422"/>
      <c r="AB46" s="422"/>
      <c r="AC46" s="422"/>
      <c r="AD46" s="423" t="str">
        <f aca="false">INDEX(PT_DIFFERENTIATION_IST_TE,MATCH(D46,PT_DIFFERENTIATION_IST_TE_ID,0))</f>
        <v/>
      </c>
      <c r="AE46" s="423"/>
      <c r="AF46" s="423"/>
      <c r="AG46" s="423"/>
      <c r="AH46" s="423"/>
      <c r="AI46" s="423"/>
      <c r="AJ46" s="423"/>
      <c r="AK46" s="423"/>
      <c r="AL46" s="423"/>
      <c r="AM46" s="424" t="s">
        <v>418</v>
      </c>
      <c r="AO46" s="117"/>
      <c r="AP46" s="117" t="str">
        <f aca="false">IF(T46="","",T46)</f>
        <v>Источник тепловой энергии</v>
      </c>
      <c r="AQ46" s="117"/>
      <c r="AR46" s="117"/>
    </row>
    <row r="47" customFormat="false" ht="47.25" hidden="false" customHeight="true" outlineLevel="0" collapsed="false">
      <c r="A47" s="415" t="s">
        <v>169</v>
      </c>
      <c r="B47" s="415" t="s">
        <v>170</v>
      </c>
      <c r="C47" s="415" t="s">
        <v>171</v>
      </c>
      <c r="D47" s="415" t="s">
        <v>172</v>
      </c>
      <c r="E47" s="416"/>
      <c r="F47" s="416"/>
      <c r="G47" s="416"/>
      <c r="H47" s="416"/>
      <c r="I47" s="431" t="str">
        <f aca="false">S46&amp;".1"</f>
        <v>....1</v>
      </c>
      <c r="J47" s="415"/>
      <c r="K47" s="415"/>
      <c r="L47" s="417" t="s">
        <v>419</v>
      </c>
      <c r="P47" s="120" t="n">
        <v>1</v>
      </c>
      <c r="Q47" s="120"/>
      <c r="R47" s="432"/>
      <c r="S47" s="419" t="str">
        <f aca="false">$I47</f>
        <v>....1</v>
      </c>
      <c r="T47" s="433" t="s">
        <v>420</v>
      </c>
      <c r="U47" s="421"/>
      <c r="V47" s="434"/>
      <c r="W47" s="434"/>
      <c r="X47" s="434"/>
      <c r="Y47" s="434"/>
      <c r="Z47" s="434"/>
      <c r="AA47" s="434"/>
      <c r="AB47" s="434"/>
      <c r="AC47" s="434"/>
      <c r="AD47" s="434"/>
      <c r="AE47" s="434"/>
      <c r="AF47" s="434"/>
      <c r="AG47" s="434"/>
      <c r="AH47" s="434"/>
      <c r="AI47" s="434"/>
      <c r="AJ47" s="434"/>
      <c r="AK47" s="434"/>
      <c r="AL47" s="434"/>
      <c r="AM47" s="424" t="s">
        <v>421</v>
      </c>
      <c r="AO47" s="117"/>
      <c r="AP47" s="117" t="str">
        <f aca="false">IF(T47="","",T47)</f>
        <v>Схема подключения теплопотребляющей установки к коллектору источника тепловой энергии</v>
      </c>
      <c r="AQ47" s="117"/>
      <c r="AR47" s="117"/>
    </row>
    <row r="48" customFormat="false" ht="21" hidden="false" customHeight="true" outlineLevel="0" collapsed="false">
      <c r="A48" s="415" t="s">
        <v>169</v>
      </c>
      <c r="B48" s="415" t="s">
        <v>170</v>
      </c>
      <c r="C48" s="415" t="s">
        <v>171</v>
      </c>
      <c r="D48" s="415" t="s">
        <v>172</v>
      </c>
      <c r="E48" s="416"/>
      <c r="F48" s="416"/>
      <c r="G48" s="416"/>
      <c r="H48" s="416"/>
      <c r="I48" s="431"/>
      <c r="J48" s="431" t="str">
        <f aca="false">I47&amp;".1"</f>
        <v>....1.1</v>
      </c>
      <c r="K48" s="415"/>
      <c r="L48" s="417" t="s">
        <v>422</v>
      </c>
      <c r="P48" s="120"/>
      <c r="Q48" s="120" t="n">
        <v>1</v>
      </c>
      <c r="R48" s="435"/>
      <c r="S48" s="419" t="str">
        <f aca="false">$J48</f>
        <v>....1.1</v>
      </c>
      <c r="T48" s="436" t="s">
        <v>423</v>
      </c>
      <c r="U48" s="421"/>
      <c r="V48" s="434"/>
      <c r="W48" s="434"/>
      <c r="X48" s="434"/>
      <c r="Y48" s="434"/>
      <c r="Z48" s="434"/>
      <c r="AA48" s="434"/>
      <c r="AB48" s="434"/>
      <c r="AC48" s="434"/>
      <c r="AD48" s="434"/>
      <c r="AE48" s="434"/>
      <c r="AF48" s="434"/>
      <c r="AG48" s="434"/>
      <c r="AH48" s="434"/>
      <c r="AI48" s="434"/>
      <c r="AJ48" s="434"/>
      <c r="AK48" s="434"/>
      <c r="AL48" s="434"/>
      <c r="AM48" s="424" t="s">
        <v>424</v>
      </c>
      <c r="AO48" s="117"/>
      <c r="AP48" s="117" t="str">
        <f aca="false">IF(T48="","",T48)</f>
        <v>Группа потребителей</v>
      </c>
      <c r="AQ48" s="117"/>
      <c r="AR48" s="117"/>
    </row>
    <row r="49" customFormat="false" ht="21" hidden="false" customHeight="true" outlineLevel="0" collapsed="false">
      <c r="A49" s="415" t="s">
        <v>169</v>
      </c>
      <c r="B49" s="415" t="s">
        <v>170</v>
      </c>
      <c r="C49" s="415" t="s">
        <v>171</v>
      </c>
      <c r="D49" s="415" t="s">
        <v>172</v>
      </c>
      <c r="E49" s="416"/>
      <c r="F49" s="416"/>
      <c r="G49" s="416"/>
      <c r="H49" s="416"/>
      <c r="I49" s="431"/>
      <c r="J49" s="431"/>
      <c r="K49" s="431" t="str">
        <f aca="false">J48&amp;".1"</f>
        <v>....1.1.1</v>
      </c>
      <c r="L49" s="417" t="s">
        <v>425</v>
      </c>
      <c r="P49" s="120"/>
      <c r="Q49" s="120"/>
      <c r="R49" s="435" t="n">
        <v>1</v>
      </c>
      <c r="S49" s="419" t="str">
        <f aca="false">$K49</f>
        <v>....1.1.1</v>
      </c>
      <c r="T49" s="437"/>
      <c r="U49" s="421"/>
      <c r="V49" s="438"/>
      <c r="W49" s="439"/>
      <c r="X49" s="438"/>
      <c r="Y49" s="440"/>
      <c r="Z49" s="441"/>
      <c r="AA49" s="203" t="s">
        <v>63</v>
      </c>
      <c r="AB49" s="441"/>
      <c r="AC49" s="203" t="s">
        <v>63</v>
      </c>
      <c r="AD49" s="438"/>
      <c r="AE49" s="439"/>
      <c r="AF49" s="438"/>
      <c r="AG49" s="440"/>
      <c r="AH49" s="441"/>
      <c r="AI49" s="203" t="s">
        <v>63</v>
      </c>
      <c r="AJ49" s="441"/>
      <c r="AK49" s="203" t="s">
        <v>63</v>
      </c>
      <c r="AL49" s="489"/>
      <c r="AM49" s="442" t="s">
        <v>426</v>
      </c>
      <c r="AN49" s="47" t="e">
        <f aca="false">strcheckdate(V50:AL50)</f>
        <v>#NAME?</v>
      </c>
      <c r="AO49" s="117"/>
      <c r="AP49" s="117" t="str">
        <f aca="false">IF(T49="","",T49)</f>
        <v/>
      </c>
      <c r="AQ49" s="117"/>
      <c r="AR49" s="117"/>
    </row>
    <row r="50" customFormat="false" ht="0.75" hidden="false" customHeight="true" outlineLevel="0" collapsed="false">
      <c r="A50" s="415" t="s">
        <v>169</v>
      </c>
      <c r="B50" s="415" t="s">
        <v>170</v>
      </c>
      <c r="C50" s="415" t="s">
        <v>171</v>
      </c>
      <c r="D50" s="415" t="s">
        <v>172</v>
      </c>
      <c r="E50" s="416"/>
      <c r="F50" s="416"/>
      <c r="G50" s="416"/>
      <c r="H50" s="416"/>
      <c r="I50" s="431"/>
      <c r="J50" s="431"/>
      <c r="K50" s="431"/>
      <c r="L50" s="417"/>
      <c r="P50" s="120"/>
      <c r="Q50" s="120"/>
      <c r="R50" s="435"/>
      <c r="S50" s="396"/>
      <c r="T50" s="421"/>
      <c r="U50" s="421"/>
      <c r="V50" s="439"/>
      <c r="W50" s="439"/>
      <c r="X50" s="439"/>
      <c r="Y50" s="443" t="str">
        <f aca="false">Z49&amp;"-"&amp;AB49</f>
        <v>-</v>
      </c>
      <c r="Z50" s="441"/>
      <c r="AA50" s="203"/>
      <c r="AB50" s="441"/>
      <c r="AC50" s="203"/>
      <c r="AD50" s="439"/>
      <c r="AE50" s="439"/>
      <c r="AF50" s="439"/>
      <c r="AG50" s="443" t="str">
        <f aca="false">AH49&amp;"-"&amp;AJ49</f>
        <v>-</v>
      </c>
      <c r="AH50" s="441"/>
      <c r="AI50" s="203"/>
      <c r="AJ50" s="441"/>
      <c r="AK50" s="203"/>
      <c r="AL50" s="490"/>
      <c r="AM50" s="442"/>
      <c r="AO50" s="117"/>
      <c r="AP50" s="117" t="str">
        <f aca="false">IF(T50="","",T50)</f>
        <v/>
      </c>
      <c r="AQ50" s="117"/>
      <c r="AR50" s="117"/>
    </row>
    <row r="51" customFormat="false" ht="11.25" hidden="false" customHeight="true" outlineLevel="0" collapsed="false">
      <c r="A51" s="415" t="s">
        <v>169</v>
      </c>
      <c r="B51" s="415" t="s">
        <v>170</v>
      </c>
      <c r="C51" s="415" t="s">
        <v>171</v>
      </c>
      <c r="D51" s="415" t="s">
        <v>172</v>
      </c>
      <c r="E51" s="416"/>
      <c r="F51" s="416"/>
      <c r="G51" s="416"/>
      <c r="H51" s="416"/>
      <c r="I51" s="431"/>
      <c r="J51" s="431"/>
      <c r="K51" s="415"/>
      <c r="L51" s="417"/>
      <c r="P51" s="120"/>
      <c r="Q51" s="120"/>
      <c r="R51" s="432"/>
      <c r="S51" s="444"/>
      <c r="T51" s="445" t="s">
        <v>427</v>
      </c>
      <c r="U51" s="193"/>
      <c r="V51" s="193"/>
      <c r="W51" s="193"/>
      <c r="X51" s="193"/>
      <c r="Y51" s="193"/>
      <c r="Z51" s="193"/>
      <c r="AA51" s="193"/>
      <c r="AB51" s="193"/>
      <c r="AC51" s="193"/>
      <c r="AD51" s="193"/>
      <c r="AE51" s="193"/>
      <c r="AF51" s="193"/>
      <c r="AG51" s="193"/>
      <c r="AH51" s="193"/>
      <c r="AI51" s="193"/>
      <c r="AJ51" s="193"/>
      <c r="AK51" s="193"/>
      <c r="AL51" s="446"/>
      <c r="AM51" s="442"/>
      <c r="AO51" s="117"/>
      <c r="AP51" s="117" t="str">
        <f aca="false">IF(T51="","",T51)</f>
        <v>Добавить вид теплоносителя (параметры теплоносителя)</v>
      </c>
      <c r="AQ51" s="117"/>
      <c r="AR51" s="117"/>
    </row>
    <row r="52" customFormat="false" ht="11.25" hidden="false" customHeight="true" outlineLevel="0" collapsed="false">
      <c r="A52" s="415" t="s">
        <v>169</v>
      </c>
      <c r="B52" s="415" t="s">
        <v>170</v>
      </c>
      <c r="C52" s="415" t="s">
        <v>171</v>
      </c>
      <c r="D52" s="415" t="s">
        <v>172</v>
      </c>
      <c r="E52" s="416"/>
      <c r="F52" s="416"/>
      <c r="G52" s="416"/>
      <c r="H52" s="416"/>
      <c r="I52" s="431"/>
      <c r="J52" s="415"/>
      <c r="K52" s="415"/>
      <c r="L52" s="417"/>
      <c r="P52" s="120"/>
      <c r="Q52" s="120"/>
      <c r="R52" s="432"/>
      <c r="S52" s="444"/>
      <c r="T52" s="447" t="s">
        <v>428</v>
      </c>
      <c r="U52" s="193"/>
      <c r="V52" s="193"/>
      <c r="W52" s="193"/>
      <c r="X52" s="193"/>
      <c r="Y52" s="193"/>
      <c r="Z52" s="193"/>
      <c r="AA52" s="193"/>
      <c r="AB52" s="193"/>
      <c r="AC52" s="448"/>
      <c r="AD52" s="193"/>
      <c r="AE52" s="193"/>
      <c r="AF52" s="193"/>
      <c r="AG52" s="193"/>
      <c r="AH52" s="193"/>
      <c r="AI52" s="193"/>
      <c r="AJ52" s="193"/>
      <c r="AK52" s="448"/>
      <c r="AL52" s="193"/>
      <c r="AM52" s="449"/>
      <c r="AO52" s="117"/>
      <c r="AP52" s="117" t="str">
        <f aca="false">IF(T52="","",T52)</f>
        <v>Добавить группу потребителей</v>
      </c>
      <c r="AQ52" s="117"/>
      <c r="AR52" s="117"/>
    </row>
    <row r="53" customFormat="false" ht="14.25" hidden="false" customHeight="true" outlineLevel="0" collapsed="false">
      <c r="A53" s="415" t="s">
        <v>169</v>
      </c>
      <c r="B53" s="415" t="s">
        <v>170</v>
      </c>
      <c r="C53" s="415" t="s">
        <v>171</v>
      </c>
      <c r="D53" s="415" t="s">
        <v>172</v>
      </c>
      <c r="E53" s="416"/>
      <c r="F53" s="416"/>
      <c r="G53" s="416"/>
      <c r="H53" s="416"/>
      <c r="I53" s="415"/>
      <c r="J53" s="415"/>
      <c r="K53" s="415"/>
      <c r="L53" s="417"/>
      <c r="M53" s="40"/>
      <c r="N53" s="40"/>
      <c r="O53" s="45"/>
      <c r="P53" s="131"/>
      <c r="Q53" s="450"/>
      <c r="R53" s="418"/>
      <c r="S53" s="444"/>
      <c r="T53" s="451" t="s">
        <v>429</v>
      </c>
      <c r="U53" s="193"/>
      <c r="V53" s="193"/>
      <c r="W53" s="193"/>
      <c r="X53" s="193"/>
      <c r="Y53" s="193"/>
      <c r="Z53" s="193"/>
      <c r="AA53" s="193"/>
      <c r="AB53" s="193"/>
      <c r="AC53" s="448"/>
      <c r="AD53" s="193"/>
      <c r="AE53" s="193"/>
      <c r="AF53" s="193"/>
      <c r="AG53" s="193"/>
      <c r="AH53" s="193"/>
      <c r="AI53" s="193"/>
      <c r="AJ53" s="193"/>
      <c r="AK53" s="448"/>
      <c r="AL53" s="193"/>
      <c r="AM53" s="449"/>
      <c r="AO53" s="117"/>
      <c r="AP53" s="117" t="str">
        <f aca="false">IF(T53="","",T53)</f>
        <v>Добавить схему подключения</v>
      </c>
      <c r="AQ53" s="117"/>
      <c r="AR53" s="117"/>
    </row>
    <row r="54" s="47" customFormat="true" ht="0.75" hidden="false" customHeight="true" outlineLevel="0" collapsed="false">
      <c r="A54" s="121" t="s">
        <v>169</v>
      </c>
      <c r="B54" s="121" t="s">
        <v>170</v>
      </c>
      <c r="C54" s="121" t="s">
        <v>171</v>
      </c>
      <c r="D54" s="121"/>
      <c r="E54" s="416"/>
      <c r="F54" s="416"/>
      <c r="G54" s="416"/>
      <c r="H54" s="121"/>
      <c r="I54" s="121"/>
      <c r="J54" s="121"/>
      <c r="K54" s="121"/>
      <c r="L54" s="191"/>
      <c r="M54" s="46"/>
      <c r="N54" s="46"/>
      <c r="P54" s="155"/>
      <c r="Q54" s="452"/>
      <c r="R54" s="155"/>
      <c r="S54" s="457"/>
      <c r="T54" s="460" t="s">
        <v>430</v>
      </c>
      <c r="U54" s="459"/>
      <c r="V54" s="459"/>
      <c r="W54" s="459"/>
      <c r="X54" s="459"/>
      <c r="Y54" s="459"/>
      <c r="Z54" s="459"/>
      <c r="AA54" s="459"/>
      <c r="AB54" s="459"/>
      <c r="AC54" s="459"/>
      <c r="AD54" s="459"/>
      <c r="AE54" s="459"/>
      <c r="AF54" s="459"/>
      <c r="AG54" s="459"/>
      <c r="AH54" s="459"/>
      <c r="AI54" s="459"/>
      <c r="AJ54" s="459"/>
      <c r="AK54" s="459"/>
      <c r="AL54" s="459"/>
      <c r="AM54" s="459"/>
      <c r="AO54" s="117"/>
      <c r="AP54" s="117" t="str">
        <f aca="false">IF(T54="","",T54)</f>
        <v>Добавить источник для дифференциации</v>
      </c>
      <c r="AQ54" s="117"/>
      <c r="AR54" s="117"/>
    </row>
    <row r="55" s="47" customFormat="true" ht="0.75" hidden="false" customHeight="true" outlineLevel="0" collapsed="false">
      <c r="A55" s="121" t="s">
        <v>169</v>
      </c>
      <c r="B55" s="121" t="s">
        <v>170</v>
      </c>
      <c r="C55" s="121"/>
      <c r="D55" s="121"/>
      <c r="E55" s="416"/>
      <c r="F55" s="416"/>
      <c r="G55" s="121"/>
      <c r="H55" s="121"/>
      <c r="I55" s="121"/>
      <c r="J55" s="121"/>
      <c r="K55" s="121"/>
      <c r="L55" s="191"/>
      <c r="M55" s="456"/>
      <c r="N55" s="456"/>
      <c r="P55" s="155"/>
      <c r="Q55" s="452"/>
      <c r="R55" s="155"/>
      <c r="S55" s="457"/>
      <c r="T55" s="460" t="s">
        <v>261</v>
      </c>
      <c r="U55" s="459"/>
      <c r="V55" s="459"/>
      <c r="W55" s="459"/>
      <c r="X55" s="459"/>
      <c r="Y55" s="459"/>
      <c r="Z55" s="459"/>
      <c r="AA55" s="459"/>
      <c r="AB55" s="459"/>
      <c r="AC55" s="459"/>
      <c r="AD55" s="459"/>
      <c r="AE55" s="459"/>
      <c r="AF55" s="459"/>
      <c r="AG55" s="459"/>
      <c r="AH55" s="459"/>
      <c r="AI55" s="459"/>
      <c r="AJ55" s="459"/>
      <c r="AK55" s="459"/>
      <c r="AL55" s="459"/>
      <c r="AM55" s="459"/>
      <c r="AO55" s="117"/>
      <c r="AP55" s="117" t="str">
        <f aca="false">IF(T55="","",T55)</f>
        <v>Добавить централизованную систему для дифференциации</v>
      </c>
      <c r="AQ55" s="117"/>
      <c r="AR55" s="117"/>
    </row>
    <row r="56" s="47" customFormat="true" ht="0.75" hidden="false" customHeight="true" outlineLevel="0" collapsed="false">
      <c r="A56" s="121" t="s">
        <v>169</v>
      </c>
      <c r="B56" s="121"/>
      <c r="C56" s="121"/>
      <c r="D56" s="121"/>
      <c r="E56" s="416"/>
      <c r="F56" s="121"/>
      <c r="G56" s="121"/>
      <c r="H56" s="121"/>
      <c r="I56" s="121"/>
      <c r="J56" s="121"/>
      <c r="K56" s="121"/>
      <c r="L56" s="191"/>
      <c r="M56" s="456"/>
      <c r="N56" s="456"/>
      <c r="P56" s="155"/>
      <c r="Q56" s="452"/>
      <c r="R56" s="155"/>
      <c r="S56" s="457"/>
      <c r="T56" s="460" t="s">
        <v>268</v>
      </c>
      <c r="U56" s="459"/>
      <c r="V56" s="459"/>
      <c r="W56" s="459"/>
      <c r="X56" s="459"/>
      <c r="Y56" s="459"/>
      <c r="Z56" s="459"/>
      <c r="AA56" s="459"/>
      <c r="AB56" s="459"/>
      <c r="AC56" s="459"/>
      <c r="AD56" s="459"/>
      <c r="AE56" s="459"/>
      <c r="AF56" s="459"/>
      <c r="AG56" s="459"/>
      <c r="AH56" s="459"/>
      <c r="AI56" s="459"/>
      <c r="AJ56" s="459"/>
      <c r="AK56" s="459"/>
      <c r="AL56" s="459"/>
      <c r="AM56" s="459"/>
      <c r="AO56" s="117"/>
      <c r="AP56" s="117" t="str">
        <f aca="false">IF(T56="","",T56)</f>
        <v>Добавить территорию для дифференциации</v>
      </c>
      <c r="AQ56" s="117"/>
      <c r="AR56" s="117"/>
    </row>
    <row r="57" s="47" customFormat="true" ht="0.75" hidden="false" customHeight="true" outlineLevel="0" collapsed="false">
      <c r="A57" s="121"/>
      <c r="B57" s="121"/>
      <c r="C57" s="121"/>
      <c r="D57" s="121"/>
      <c r="E57" s="121"/>
      <c r="F57" s="121"/>
      <c r="G57" s="121"/>
      <c r="H57" s="121"/>
      <c r="I57" s="121"/>
      <c r="J57" s="121"/>
      <c r="K57" s="121"/>
      <c r="L57" s="191"/>
      <c r="M57" s="456"/>
      <c r="N57" s="456"/>
      <c r="P57" s="155"/>
      <c r="Q57" s="452"/>
      <c r="R57" s="155"/>
      <c r="S57" s="457"/>
      <c r="T57" s="460" t="s">
        <v>269</v>
      </c>
      <c r="U57" s="459"/>
      <c r="V57" s="459"/>
      <c r="W57" s="459"/>
      <c r="X57" s="459"/>
      <c r="Y57" s="459"/>
      <c r="Z57" s="459"/>
      <c r="AA57" s="459"/>
      <c r="AB57" s="459"/>
      <c r="AC57" s="459"/>
      <c r="AD57" s="459"/>
      <c r="AE57" s="459"/>
      <c r="AF57" s="459"/>
      <c r="AG57" s="459"/>
      <c r="AH57" s="459"/>
      <c r="AI57" s="459"/>
      <c r="AJ57" s="459"/>
      <c r="AK57" s="459"/>
      <c r="AL57" s="459"/>
      <c r="AM57" s="459"/>
      <c r="AO57" s="117"/>
      <c r="AP57" s="117" t="str">
        <f aca="false">IF(T57="","",T57)</f>
        <v>Добавить наименование тарифа</v>
      </c>
      <c r="AQ57" s="117"/>
      <c r="AR57" s="117"/>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12"/>
      <c r="T59" s="491"/>
      <c r="U59" s="491"/>
      <c r="V59" s="491"/>
      <c r="W59" s="491"/>
      <c r="X59" s="491"/>
      <c r="Y59" s="491"/>
      <c r="Z59" s="491"/>
      <c r="AA59" s="491"/>
      <c r="AB59" s="491"/>
      <c r="AC59" s="491"/>
      <c r="AD59" s="491"/>
      <c r="AE59" s="491"/>
      <c r="AF59" s="491"/>
      <c r="AG59" s="491"/>
      <c r="AH59" s="491"/>
      <c r="AI59" s="491"/>
      <c r="AJ59" s="491"/>
      <c r="AK59" s="491"/>
      <c r="AL59" s="491"/>
      <c r="AM59" s="491"/>
    </row>
    <row r="60" customFormat="false" ht="62.25" hidden="false" customHeight="true" outlineLevel="0" collapsed="false">
      <c r="O60" s="45"/>
      <c r="T60" s="491"/>
      <c r="U60" s="491"/>
      <c r="V60" s="491"/>
      <c r="W60" s="491"/>
      <c r="X60" s="491"/>
      <c r="Y60" s="491"/>
      <c r="Z60" s="491"/>
      <c r="AA60" s="491"/>
      <c r="AB60" s="491"/>
      <c r="AC60" s="491"/>
      <c r="AD60" s="491"/>
      <c r="AE60" s="491"/>
      <c r="AF60" s="491"/>
      <c r="AG60" s="491"/>
      <c r="AH60" s="491"/>
      <c r="AI60" s="491"/>
      <c r="AJ60" s="491"/>
      <c r="AK60" s="491"/>
      <c r="AL60" s="491"/>
      <c r="AM60" s="491"/>
    </row>
    <row r="61" customFormat="false" ht="14.25" hidden="false" customHeight="true" outlineLevel="0" collapsed="false">
      <c r="O61" s="45"/>
    </row>
    <row r="62" customFormat="false" ht="18" hidden="false" customHeight="true" outlineLevel="0" collapsed="false">
      <c r="O62" s="45"/>
      <c r="S62" s="412"/>
      <c r="T62" s="491"/>
      <c r="U62" s="491"/>
      <c r="V62" s="491"/>
      <c r="W62" s="491"/>
      <c r="X62" s="491"/>
      <c r="Y62" s="491"/>
      <c r="Z62" s="491"/>
      <c r="AA62" s="491"/>
      <c r="AB62" s="491"/>
      <c r="AC62" s="491"/>
      <c r="AD62" s="491"/>
      <c r="AE62" s="491"/>
      <c r="AF62" s="491"/>
      <c r="AG62" s="491"/>
      <c r="AH62" s="491"/>
      <c r="AI62" s="491"/>
      <c r="AJ62" s="491"/>
      <c r="AK62" s="491"/>
      <c r="AL62" s="491"/>
      <c r="AM62" s="491"/>
    </row>
    <row r="63" customFormat="false" ht="18" hidden="false" customHeight="true" outlineLevel="0" collapsed="false">
      <c r="O63" s="45"/>
      <c r="T63" s="491"/>
      <c r="U63" s="491"/>
      <c r="V63" s="491"/>
      <c r="W63" s="491"/>
      <c r="X63" s="491"/>
      <c r="Y63" s="491"/>
      <c r="Z63" s="491"/>
      <c r="AA63" s="491"/>
      <c r="AB63" s="491"/>
      <c r="AC63" s="491"/>
      <c r="AD63" s="491"/>
      <c r="AE63" s="491"/>
      <c r="AF63" s="491"/>
      <c r="AG63" s="491"/>
      <c r="AH63" s="491"/>
      <c r="AI63" s="491"/>
      <c r="AJ63" s="491"/>
      <c r="AK63" s="491"/>
      <c r="AL63" s="491"/>
      <c r="AM63" s="491"/>
    </row>
    <row r="64" customFormat="false" ht="27.75" hidden="false" customHeight="true" outlineLevel="0" collapsed="false">
      <c r="O64" s="45"/>
      <c r="S64" s="412"/>
      <c r="T64" s="491"/>
      <c r="U64" s="491"/>
      <c r="V64" s="491"/>
      <c r="W64" s="491"/>
      <c r="X64" s="491"/>
      <c r="Y64" s="491"/>
      <c r="Z64" s="491"/>
      <c r="AA64" s="491"/>
      <c r="AB64" s="491"/>
      <c r="AC64" s="491"/>
      <c r="AD64" s="491"/>
      <c r="AE64" s="491"/>
      <c r="AF64" s="491"/>
      <c r="AG64" s="491"/>
      <c r="AH64" s="491"/>
      <c r="AI64" s="491"/>
      <c r="AJ64" s="491"/>
      <c r="AK64" s="491"/>
      <c r="AL64" s="491"/>
      <c r="AM64" s="491"/>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5"/>
    <col collapsed="false" customWidth="true" hidden="true" outlineLevel="0" max="5" min="5" style="42" width="10"/>
    <col collapsed="false" customWidth="true" hidden="true" outlineLevel="0" max="6" min="6" style="42" width="8.71"/>
    <col collapsed="false" customWidth="true" hidden="true" outlineLevel="0" max="7" min="7" style="42" width="7.57"/>
    <col collapsed="false" customWidth="true" hidden="true" outlineLevel="0" max="8" min="8" style="42" width="11.42"/>
    <col collapsed="false" customWidth="true" hidden="true" outlineLevel="0" max="9" min="9" style="42" width="12"/>
    <col collapsed="false" customWidth="true" hidden="true" outlineLevel="0" max="10" min="10" style="42" width="9.85"/>
    <col collapsed="false" customWidth="true" hidden="true" outlineLevel="0" max="11" min="11" style="42" width="11.42"/>
    <col collapsed="false" customWidth="true" hidden="true" outlineLevel="0" max="12" min="12" style="43" width="19.14"/>
    <col collapsed="false" customWidth="true" hidden="true" outlineLevel="0" max="14" min="13" style="50" width="12.28"/>
    <col collapsed="false" customWidth="true" hidden="true" outlineLevel="0" max="15" min="15" style="50" width="23.42"/>
    <col collapsed="false" customWidth="true" hidden="false" outlineLevel="0" max="16" min="16" style="50" width="3.71"/>
    <col collapsed="false" customWidth="true" hidden="false" outlineLevel="0" max="18" min="17" style="414" width="3.71"/>
    <col collapsed="false" customWidth="true" hidden="false" outlineLevel="0" max="19" min="19" style="75" width="12.71"/>
    <col collapsed="false" customWidth="true" hidden="false" outlineLevel="0" max="20" min="20" style="42" width="32"/>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7" width="10.57"/>
    <col collapsed="false" customWidth="true" hidden="false" outlineLevel="0" max="42" min="42" style="47" width="11.14"/>
    <col collapsed="false" customWidth="false" hidden="false" outlineLevel="0" max="44" min="43" style="47" width="10.57"/>
  </cols>
  <sheetData>
    <row r="1" customFormat="false" ht="14.25" hidden="true" customHeight="true" outlineLevel="0" collapsed="false"/>
    <row r="2" customFormat="false" ht="21" hidden="true" customHeight="true" outlineLevel="0" collapsed="false">
      <c r="A2" s="233"/>
      <c r="B2" s="233"/>
      <c r="C2" s="233"/>
      <c r="D2" s="233"/>
      <c r="E2" s="492" t="n">
        <v>1</v>
      </c>
      <c r="F2" s="233"/>
      <c r="G2" s="233"/>
      <c r="H2" s="233"/>
      <c r="I2" s="233"/>
      <c r="J2" s="233"/>
      <c r="K2" s="233"/>
      <c r="L2" s="493"/>
      <c r="M2" s="75"/>
      <c r="N2" s="75"/>
      <c r="O2" s="75"/>
      <c r="Q2" s="131"/>
      <c r="R2" s="418"/>
      <c r="S2" s="419" t="e">
        <f aca="false">INDEX(PT_DIFFERENTIATION_NUM_NTAR,MATCH(A2,PT_DIFFERENTIATION_NTAR_ID,0))</f>
        <v>#N/A</v>
      </c>
      <c r="T2" s="420" t="s">
        <v>130</v>
      </c>
      <c r="U2" s="421"/>
      <c r="V2" s="422"/>
      <c r="W2" s="422"/>
      <c r="X2" s="422"/>
      <c r="Y2" s="422"/>
      <c r="Z2" s="422"/>
      <c r="AA2" s="422"/>
      <c r="AB2" s="422"/>
      <c r="AC2" s="422"/>
      <c r="AD2" s="423" t="e">
        <f aca="false">INDEX(PT_DIFFERENTIATION_NTAR,MATCH(A2,PT_DIFFERENTIATION_NTAR_ID,0))</f>
        <v>#N/A</v>
      </c>
      <c r="AE2" s="423"/>
      <c r="AF2" s="423"/>
      <c r="AG2" s="423"/>
      <c r="AH2" s="423"/>
      <c r="AI2" s="423"/>
      <c r="AJ2" s="423"/>
      <c r="AK2" s="423"/>
      <c r="AL2" s="423"/>
      <c r="AM2" s="424" t="s">
        <v>412</v>
      </c>
      <c r="AO2" s="117"/>
      <c r="AP2" s="117" t="str">
        <f aca="false">IF(T2="","",T2)</f>
        <v>Наименование тарифа</v>
      </c>
      <c r="AQ2" s="117"/>
      <c r="AR2" s="117"/>
    </row>
    <row r="3" customFormat="false" ht="21" hidden="true" customHeight="true" outlineLevel="0" collapsed="false">
      <c r="A3" s="233"/>
      <c r="B3" s="233"/>
      <c r="C3" s="233"/>
      <c r="D3" s="233"/>
      <c r="E3" s="492"/>
      <c r="F3" s="492" t="n">
        <v>1</v>
      </c>
      <c r="G3" s="233"/>
      <c r="H3" s="233"/>
      <c r="I3" s="233"/>
      <c r="J3" s="233"/>
      <c r="K3" s="233"/>
      <c r="L3" s="493"/>
      <c r="M3" s="75"/>
      <c r="N3" s="75"/>
      <c r="O3" s="75"/>
      <c r="P3" s="43"/>
      <c r="Q3" s="425"/>
      <c r="R3" s="426"/>
      <c r="S3" s="419" t="e">
        <f aca="false">INDEX(PT_DIFFERENTIATION_NUM_TER,MATCH(B3,PT_DIFFERENTIATION_TER_ID,0))</f>
        <v>#N/A</v>
      </c>
      <c r="T3" s="427" t="s">
        <v>413</v>
      </c>
      <c r="U3" s="421"/>
      <c r="V3" s="422"/>
      <c r="W3" s="422"/>
      <c r="X3" s="422"/>
      <c r="Y3" s="422"/>
      <c r="Z3" s="422"/>
      <c r="AA3" s="422"/>
      <c r="AB3" s="422"/>
      <c r="AC3" s="422"/>
      <c r="AD3" s="423" t="e">
        <f aca="false">INDEX(PT_DIFFERENTIATION_TER,MATCH(B3,PT_DIFFERENTIATION_TER_ID,0))</f>
        <v>#N/A</v>
      </c>
      <c r="AE3" s="423"/>
      <c r="AF3" s="423"/>
      <c r="AG3" s="423"/>
      <c r="AH3" s="423"/>
      <c r="AI3" s="423"/>
      <c r="AJ3" s="423"/>
      <c r="AK3" s="423"/>
      <c r="AL3" s="423"/>
      <c r="AM3" s="424" t="s">
        <v>414</v>
      </c>
      <c r="AO3" s="117"/>
      <c r="AP3" s="117" t="str">
        <f aca="false">IF(T3="","",T3)</f>
        <v>Территория действия тарифа</v>
      </c>
      <c r="AQ3" s="117"/>
      <c r="AR3" s="117"/>
    </row>
    <row r="4" customFormat="false" ht="23.25" hidden="true" customHeight="true" outlineLevel="0" collapsed="false">
      <c r="A4" s="233"/>
      <c r="B4" s="233"/>
      <c r="C4" s="233"/>
      <c r="D4" s="233"/>
      <c r="E4" s="492"/>
      <c r="F4" s="492"/>
      <c r="G4" s="492" t="n">
        <v>1</v>
      </c>
      <c r="H4" s="233"/>
      <c r="I4" s="233"/>
      <c r="J4" s="233"/>
      <c r="K4" s="233"/>
      <c r="L4" s="493"/>
      <c r="M4" s="75"/>
      <c r="N4" s="75"/>
      <c r="O4" s="75"/>
      <c r="P4" s="428"/>
      <c r="Q4" s="425"/>
      <c r="R4" s="426"/>
      <c r="S4" s="419" t="e">
        <f aca="false">INDEX(PT_DIFFERENTIATION_NUM_CS,MATCH(C4,PT_DIFFERENTIATION_CS_ID,0))</f>
        <v>#N/A</v>
      </c>
      <c r="T4" s="429" t="s">
        <v>415</v>
      </c>
      <c r="U4" s="421"/>
      <c r="V4" s="422"/>
      <c r="W4" s="422"/>
      <c r="X4" s="422"/>
      <c r="Y4" s="422"/>
      <c r="Z4" s="422"/>
      <c r="AA4" s="422"/>
      <c r="AB4" s="422"/>
      <c r="AC4" s="422"/>
      <c r="AD4" s="423" t="e">
        <f aca="false">INDEX(PT_DIFFERENTIATION_CS,MATCH(C4,PT_DIFFERENTIATION_CS_ID,0))</f>
        <v>#N/A</v>
      </c>
      <c r="AE4" s="423"/>
      <c r="AF4" s="423"/>
      <c r="AG4" s="423"/>
      <c r="AH4" s="423"/>
      <c r="AI4" s="423"/>
      <c r="AJ4" s="423"/>
      <c r="AK4" s="423"/>
      <c r="AL4" s="423"/>
      <c r="AM4" s="424" t="s">
        <v>416</v>
      </c>
      <c r="AO4" s="117"/>
      <c r="AP4" s="117" t="str">
        <f aca="false">IF(T4="","",T4)</f>
        <v>Наименование системы теплоснабжения</v>
      </c>
      <c r="AQ4" s="117"/>
      <c r="AR4" s="117"/>
    </row>
    <row r="5" customFormat="false" ht="21" hidden="true" customHeight="true" outlineLevel="0" collapsed="false">
      <c r="A5" s="233"/>
      <c r="B5" s="233"/>
      <c r="C5" s="233"/>
      <c r="D5" s="233"/>
      <c r="E5" s="492"/>
      <c r="F5" s="492"/>
      <c r="G5" s="492"/>
      <c r="H5" s="492" t="n">
        <v>1</v>
      </c>
      <c r="I5" s="233"/>
      <c r="J5" s="233"/>
      <c r="K5" s="233"/>
      <c r="L5" s="493"/>
      <c r="M5" s="75"/>
      <c r="N5" s="75"/>
      <c r="O5" s="75"/>
      <c r="P5" s="428"/>
      <c r="Q5" s="425"/>
      <c r="R5" s="426"/>
      <c r="S5" s="419" t="e">
        <f aca="false">INDEX(PT_DIFFERENTIATION_NUM_IST_TE,MATCH(D5,PT_DIFFERENTIATION_IST_TE_ID,0))</f>
        <v>#N/A</v>
      </c>
      <c r="T5" s="430" t="s">
        <v>417</v>
      </c>
      <c r="U5" s="421"/>
      <c r="V5" s="422"/>
      <c r="W5" s="422"/>
      <c r="X5" s="422"/>
      <c r="Y5" s="422"/>
      <c r="Z5" s="422"/>
      <c r="AA5" s="422"/>
      <c r="AB5" s="422"/>
      <c r="AC5" s="422"/>
      <c r="AD5" s="423" t="e">
        <f aca="false">INDEX(PT_DIFFERENTIATION_IST_TE,MATCH(D5,PT_DIFFERENTIATION_IST_TE_ID,0))</f>
        <v>#N/A</v>
      </c>
      <c r="AE5" s="423"/>
      <c r="AF5" s="423"/>
      <c r="AG5" s="423"/>
      <c r="AH5" s="423"/>
      <c r="AI5" s="423"/>
      <c r="AJ5" s="423"/>
      <c r="AK5" s="423"/>
      <c r="AL5" s="423"/>
      <c r="AM5" s="424" t="s">
        <v>418</v>
      </c>
      <c r="AO5" s="117"/>
      <c r="AP5" s="117" t="str">
        <f aca="false">IF(T5="","",T5)</f>
        <v>Источник тепловой энергии</v>
      </c>
      <c r="AQ5" s="117"/>
      <c r="AR5" s="117"/>
    </row>
    <row r="6" customFormat="false" ht="47.25" hidden="true" customHeight="true" outlineLevel="0" collapsed="false">
      <c r="A6" s="233"/>
      <c r="B6" s="233"/>
      <c r="C6" s="233"/>
      <c r="D6" s="233"/>
      <c r="E6" s="492"/>
      <c r="F6" s="492"/>
      <c r="G6" s="492"/>
      <c r="H6" s="492"/>
      <c r="I6" s="145" t="e">
        <f aca="false">S5&amp;".1"</f>
        <v>#N/A</v>
      </c>
      <c r="J6" s="233"/>
      <c r="K6" s="233"/>
      <c r="L6" s="493" t="s">
        <v>419</v>
      </c>
      <c r="M6" s="42"/>
      <c r="P6" s="120" t="n">
        <v>1</v>
      </c>
      <c r="Q6" s="120"/>
      <c r="R6" s="432"/>
      <c r="S6" s="419" t="e">
        <f aca="false">$I6</f>
        <v>#N/A</v>
      </c>
      <c r="T6" s="433" t="s">
        <v>420</v>
      </c>
      <c r="U6" s="421"/>
      <c r="V6" s="434"/>
      <c r="W6" s="434"/>
      <c r="X6" s="434"/>
      <c r="Y6" s="434"/>
      <c r="Z6" s="434"/>
      <c r="AA6" s="434"/>
      <c r="AB6" s="434"/>
      <c r="AC6" s="434"/>
      <c r="AD6" s="434"/>
      <c r="AE6" s="434"/>
      <c r="AF6" s="434"/>
      <c r="AG6" s="434"/>
      <c r="AH6" s="434"/>
      <c r="AI6" s="434"/>
      <c r="AJ6" s="434"/>
      <c r="AK6" s="434"/>
      <c r="AL6" s="434"/>
      <c r="AM6" s="424" t="s">
        <v>421</v>
      </c>
      <c r="AO6" s="117"/>
      <c r="AP6" s="117" t="str">
        <f aca="false">IF(T6="","",T6)</f>
        <v>Схема подключения теплопотребляющей установки к коллектору источника тепловой энергии</v>
      </c>
      <c r="AQ6" s="117"/>
      <c r="AR6" s="117"/>
    </row>
    <row r="7" customFormat="false" ht="21" hidden="true" customHeight="true" outlineLevel="0" collapsed="false">
      <c r="A7" s="233"/>
      <c r="B7" s="233"/>
      <c r="C7" s="233"/>
      <c r="D7" s="233"/>
      <c r="E7" s="492"/>
      <c r="F7" s="492"/>
      <c r="G7" s="492"/>
      <c r="H7" s="492"/>
      <c r="I7" s="145"/>
      <c r="J7" s="133" t="e">
        <f aca="false">I6&amp;".1"</f>
        <v>#N/A</v>
      </c>
      <c r="K7" s="233"/>
      <c r="L7" s="493" t="s">
        <v>422</v>
      </c>
      <c r="M7" s="42"/>
      <c r="N7" s="42"/>
      <c r="P7" s="120"/>
      <c r="Q7" s="120" t="n">
        <v>1</v>
      </c>
      <c r="R7" s="435"/>
      <c r="S7" s="419" t="e">
        <f aca="false">$J7</f>
        <v>#N/A</v>
      </c>
      <c r="T7" s="436" t="s">
        <v>423</v>
      </c>
      <c r="U7" s="421"/>
      <c r="V7" s="434"/>
      <c r="W7" s="434"/>
      <c r="X7" s="434"/>
      <c r="Y7" s="434"/>
      <c r="Z7" s="434"/>
      <c r="AA7" s="434"/>
      <c r="AB7" s="434"/>
      <c r="AC7" s="434"/>
      <c r="AD7" s="434"/>
      <c r="AE7" s="434"/>
      <c r="AF7" s="434"/>
      <c r="AG7" s="434"/>
      <c r="AH7" s="434"/>
      <c r="AI7" s="434"/>
      <c r="AJ7" s="434"/>
      <c r="AK7" s="434"/>
      <c r="AL7" s="434"/>
      <c r="AM7" s="424" t="s">
        <v>424</v>
      </c>
      <c r="AO7" s="117"/>
      <c r="AP7" s="117" t="str">
        <f aca="false">IF(T7="","",T7)</f>
        <v>Группа потребителей</v>
      </c>
      <c r="AQ7" s="117"/>
      <c r="AR7" s="117"/>
    </row>
    <row r="8" customFormat="false" ht="21" hidden="true" customHeight="true" outlineLevel="0" collapsed="false">
      <c r="A8" s="233"/>
      <c r="B8" s="233"/>
      <c r="C8" s="233"/>
      <c r="D8" s="233"/>
      <c r="E8" s="492"/>
      <c r="F8" s="492"/>
      <c r="G8" s="492"/>
      <c r="H8" s="492"/>
      <c r="I8" s="145"/>
      <c r="J8" s="145"/>
      <c r="K8" s="133" t="e">
        <f aca="false">J7&amp;".1"</f>
        <v>#N/A</v>
      </c>
      <c r="L8" s="493" t="s">
        <v>425</v>
      </c>
      <c r="M8" s="42"/>
      <c r="N8" s="42"/>
      <c r="O8" s="42"/>
      <c r="P8" s="120"/>
      <c r="Q8" s="120"/>
      <c r="R8" s="435" t="n">
        <v>1</v>
      </c>
      <c r="S8" s="419" t="e">
        <f aca="false">$K8</f>
        <v>#N/A</v>
      </c>
      <c r="T8" s="437"/>
      <c r="U8" s="421"/>
      <c r="V8" s="438"/>
      <c r="W8" s="439"/>
      <c r="X8" s="438"/>
      <c r="Y8" s="440"/>
      <c r="Z8" s="441"/>
      <c r="AA8" s="203" t="s">
        <v>63</v>
      </c>
      <c r="AB8" s="441"/>
      <c r="AC8" s="203" t="s">
        <v>63</v>
      </c>
      <c r="AD8" s="438"/>
      <c r="AE8" s="439"/>
      <c r="AF8" s="438"/>
      <c r="AG8" s="440"/>
      <c r="AH8" s="441"/>
      <c r="AI8" s="203" t="s">
        <v>63</v>
      </c>
      <c r="AJ8" s="441"/>
      <c r="AK8" s="203" t="s">
        <v>63</v>
      </c>
      <c r="AL8" s="439"/>
      <c r="AM8" s="442" t="s">
        <v>426</v>
      </c>
      <c r="AN8" s="47" t="e">
        <f aca="false">strcheckdate(V9:AL9)</f>
        <v>#NAME?</v>
      </c>
      <c r="AO8" s="117"/>
      <c r="AP8" s="117" t="str">
        <f aca="false">IF(T8="","",T8)</f>
        <v/>
      </c>
      <c r="AQ8" s="117"/>
      <c r="AR8" s="117"/>
    </row>
    <row r="9" customFormat="false" ht="0.75" hidden="true" customHeight="true" outlineLevel="0" collapsed="false">
      <c r="A9" s="233"/>
      <c r="B9" s="233"/>
      <c r="C9" s="233"/>
      <c r="D9" s="233"/>
      <c r="E9" s="492"/>
      <c r="F9" s="492"/>
      <c r="G9" s="492"/>
      <c r="H9" s="492"/>
      <c r="I9" s="145"/>
      <c r="J9" s="145"/>
      <c r="K9" s="133"/>
      <c r="L9" s="493"/>
      <c r="M9" s="42"/>
      <c r="N9" s="42"/>
      <c r="O9" s="42"/>
      <c r="P9" s="120"/>
      <c r="Q9" s="120"/>
      <c r="R9" s="435"/>
      <c r="S9" s="396"/>
      <c r="T9" s="421"/>
      <c r="U9" s="421"/>
      <c r="V9" s="439"/>
      <c r="W9" s="439"/>
      <c r="X9" s="439"/>
      <c r="Y9" s="443" t="str">
        <f aca="false">Z8&amp;"-"&amp;AB8</f>
        <v>-</v>
      </c>
      <c r="Z9" s="441"/>
      <c r="AA9" s="203"/>
      <c r="AB9" s="441"/>
      <c r="AC9" s="203"/>
      <c r="AD9" s="439"/>
      <c r="AE9" s="439"/>
      <c r="AF9" s="439"/>
      <c r="AG9" s="443" t="str">
        <f aca="false">AH8&amp;"-"&amp;AJ8</f>
        <v>-</v>
      </c>
      <c r="AH9" s="441"/>
      <c r="AI9" s="203"/>
      <c r="AJ9" s="441"/>
      <c r="AK9" s="203"/>
      <c r="AL9" s="439"/>
      <c r="AM9" s="442"/>
      <c r="AO9" s="117"/>
      <c r="AP9" s="117" t="str">
        <f aca="false">IF(T9="","",T9)</f>
        <v/>
      </c>
      <c r="AQ9" s="117"/>
      <c r="AR9" s="117"/>
    </row>
    <row r="10" customFormat="false" ht="15" hidden="true" customHeight="true" outlineLevel="0" collapsed="false">
      <c r="A10" s="233"/>
      <c r="B10" s="233"/>
      <c r="C10" s="233"/>
      <c r="D10" s="233"/>
      <c r="E10" s="492"/>
      <c r="F10" s="492"/>
      <c r="G10" s="492"/>
      <c r="H10" s="492"/>
      <c r="I10" s="145"/>
      <c r="J10" s="133"/>
      <c r="K10" s="233"/>
      <c r="L10" s="493"/>
      <c r="M10" s="42"/>
      <c r="N10" s="42"/>
      <c r="P10" s="120"/>
      <c r="Q10" s="120"/>
      <c r="R10" s="432"/>
      <c r="S10" s="444"/>
      <c r="T10" s="445" t="s">
        <v>427</v>
      </c>
      <c r="U10" s="193"/>
      <c r="V10" s="193"/>
      <c r="W10" s="193"/>
      <c r="X10" s="193"/>
      <c r="Y10" s="193"/>
      <c r="Z10" s="193"/>
      <c r="AA10" s="193"/>
      <c r="AB10" s="193"/>
      <c r="AC10" s="193"/>
      <c r="AD10" s="193"/>
      <c r="AE10" s="193"/>
      <c r="AF10" s="193"/>
      <c r="AG10" s="193"/>
      <c r="AH10" s="193"/>
      <c r="AI10" s="193"/>
      <c r="AJ10" s="193"/>
      <c r="AK10" s="193"/>
      <c r="AL10" s="446"/>
      <c r="AM10" s="442"/>
      <c r="AO10" s="117"/>
      <c r="AP10" s="117" t="str">
        <f aca="false">IF(T10="","",T10)</f>
        <v>Добавить вид теплоносителя (параметры теплоносителя)</v>
      </c>
      <c r="AQ10" s="117"/>
      <c r="AR10" s="117"/>
    </row>
    <row r="11" customFormat="false" ht="15" hidden="true" customHeight="true" outlineLevel="0" collapsed="false">
      <c r="A11" s="233"/>
      <c r="B11" s="233"/>
      <c r="C11" s="233"/>
      <c r="D11" s="233"/>
      <c r="E11" s="492"/>
      <c r="F11" s="492"/>
      <c r="G11" s="492"/>
      <c r="H11" s="492"/>
      <c r="I11" s="145"/>
      <c r="J11" s="233"/>
      <c r="K11" s="233"/>
      <c r="L11" s="493"/>
      <c r="M11" s="42"/>
      <c r="P11" s="120"/>
      <c r="Q11" s="120"/>
      <c r="R11" s="432"/>
      <c r="S11" s="444"/>
      <c r="T11" s="447" t="s">
        <v>428</v>
      </c>
      <c r="U11" s="193"/>
      <c r="V11" s="193"/>
      <c r="W11" s="193"/>
      <c r="X11" s="193"/>
      <c r="Y11" s="193"/>
      <c r="Z11" s="193"/>
      <c r="AA11" s="193"/>
      <c r="AB11" s="193"/>
      <c r="AC11" s="448"/>
      <c r="AD11" s="193"/>
      <c r="AE11" s="193"/>
      <c r="AF11" s="193"/>
      <c r="AG11" s="193"/>
      <c r="AH11" s="193"/>
      <c r="AI11" s="193"/>
      <c r="AJ11" s="193"/>
      <c r="AK11" s="448"/>
      <c r="AL11" s="193"/>
      <c r="AM11" s="449"/>
      <c r="AO11" s="117"/>
      <c r="AP11" s="117" t="str">
        <f aca="false">IF(T11="","",T11)</f>
        <v>Добавить группу потребителей</v>
      </c>
      <c r="AQ11" s="117"/>
      <c r="AR11" s="117"/>
    </row>
    <row r="12" customFormat="false" ht="14.25" hidden="true" customHeight="true" outlineLevel="0" collapsed="false">
      <c r="A12" s="233"/>
      <c r="B12" s="233"/>
      <c r="C12" s="233"/>
      <c r="D12" s="233"/>
      <c r="E12" s="492"/>
      <c r="F12" s="492"/>
      <c r="G12" s="492"/>
      <c r="H12" s="492"/>
      <c r="I12" s="233"/>
      <c r="J12" s="233"/>
      <c r="K12" s="233"/>
      <c r="L12" s="493"/>
      <c r="M12" s="75"/>
      <c r="N12" s="75"/>
      <c r="O12" s="42"/>
      <c r="P12" s="131"/>
      <c r="Q12" s="450"/>
      <c r="R12" s="418"/>
      <c r="S12" s="444"/>
      <c r="T12" s="451" t="s">
        <v>429</v>
      </c>
      <c r="U12" s="193"/>
      <c r="V12" s="193"/>
      <c r="W12" s="193"/>
      <c r="X12" s="193"/>
      <c r="Y12" s="193"/>
      <c r="Z12" s="193"/>
      <c r="AA12" s="193"/>
      <c r="AB12" s="193"/>
      <c r="AC12" s="448"/>
      <c r="AD12" s="193"/>
      <c r="AE12" s="193"/>
      <c r="AF12" s="193"/>
      <c r="AG12" s="193"/>
      <c r="AH12" s="193"/>
      <c r="AI12" s="193"/>
      <c r="AJ12" s="193"/>
      <c r="AK12" s="448"/>
      <c r="AL12" s="193"/>
      <c r="AM12" s="449"/>
      <c r="AO12" s="117"/>
      <c r="AP12" s="117" t="str">
        <f aca="false">IF(T12="","",T12)</f>
        <v>Добавить схему подключения</v>
      </c>
      <c r="AQ12" s="117"/>
      <c r="AR12" s="117"/>
    </row>
    <row r="13" s="47" customFormat="true" ht="0.75" hidden="true" customHeight="true" outlineLevel="0" collapsed="false">
      <c r="A13" s="494"/>
      <c r="B13" s="494"/>
      <c r="C13" s="494"/>
      <c r="D13" s="494"/>
      <c r="E13" s="492"/>
      <c r="F13" s="492"/>
      <c r="G13" s="492"/>
      <c r="H13" s="494"/>
      <c r="I13" s="494"/>
      <c r="J13" s="494"/>
      <c r="K13" s="494"/>
      <c r="L13" s="495"/>
      <c r="M13" s="496"/>
      <c r="N13" s="496"/>
      <c r="O13" s="119"/>
      <c r="P13" s="155"/>
      <c r="Q13" s="452"/>
      <c r="R13" s="155"/>
      <c r="S13" s="453"/>
      <c r="T13" s="454" t="s">
        <v>430</v>
      </c>
      <c r="U13" s="455"/>
      <c r="V13" s="455"/>
      <c r="W13" s="455"/>
      <c r="X13" s="455"/>
      <c r="Y13" s="455"/>
      <c r="Z13" s="455"/>
      <c r="AA13" s="455"/>
      <c r="AB13" s="455"/>
      <c r="AC13" s="455"/>
      <c r="AD13" s="455"/>
      <c r="AE13" s="455"/>
      <c r="AF13" s="455"/>
      <c r="AG13" s="455"/>
      <c r="AH13" s="455"/>
      <c r="AI13" s="455"/>
      <c r="AJ13" s="455"/>
      <c r="AK13" s="455"/>
      <c r="AL13" s="455"/>
      <c r="AM13" s="455"/>
      <c r="AO13" s="117"/>
      <c r="AP13" s="117" t="str">
        <f aca="false">IF(T13="","",T13)</f>
        <v>Добавить источник для дифференциации</v>
      </c>
      <c r="AQ13" s="117"/>
      <c r="AR13" s="117"/>
    </row>
    <row r="14" s="47" customFormat="true" ht="0.75" hidden="true" customHeight="true" outlineLevel="0" collapsed="false">
      <c r="A14" s="494"/>
      <c r="B14" s="494"/>
      <c r="C14" s="494"/>
      <c r="D14" s="494"/>
      <c r="E14" s="492"/>
      <c r="F14" s="492"/>
      <c r="G14" s="494"/>
      <c r="H14" s="494"/>
      <c r="I14" s="494"/>
      <c r="J14" s="494"/>
      <c r="K14" s="494"/>
      <c r="L14" s="495"/>
      <c r="M14" s="497"/>
      <c r="N14" s="497"/>
      <c r="O14" s="119"/>
      <c r="P14" s="155"/>
      <c r="Q14" s="452"/>
      <c r="R14" s="155"/>
      <c r="S14" s="457"/>
      <c r="T14" s="458" t="s">
        <v>261</v>
      </c>
      <c r="U14" s="459"/>
      <c r="V14" s="459"/>
      <c r="W14" s="459"/>
      <c r="X14" s="459"/>
      <c r="Y14" s="459"/>
      <c r="Z14" s="459"/>
      <c r="AA14" s="459"/>
      <c r="AB14" s="459"/>
      <c r="AC14" s="459"/>
      <c r="AD14" s="459"/>
      <c r="AE14" s="459"/>
      <c r="AF14" s="459"/>
      <c r="AG14" s="459"/>
      <c r="AH14" s="459"/>
      <c r="AI14" s="459"/>
      <c r="AJ14" s="459"/>
      <c r="AK14" s="459"/>
      <c r="AL14" s="459"/>
      <c r="AM14" s="459"/>
      <c r="AO14" s="117"/>
      <c r="AP14" s="117" t="str">
        <f aca="false">IF(T14="","",T14)</f>
        <v>Добавить централизованную систему для дифференциации</v>
      </c>
      <c r="AQ14" s="117"/>
      <c r="AR14" s="117"/>
    </row>
    <row r="15" s="47" customFormat="true" ht="0.75" hidden="true" customHeight="true" outlineLevel="0" collapsed="false">
      <c r="A15" s="494"/>
      <c r="B15" s="494"/>
      <c r="C15" s="494"/>
      <c r="D15" s="494"/>
      <c r="E15" s="492"/>
      <c r="F15" s="494"/>
      <c r="G15" s="494"/>
      <c r="H15" s="494"/>
      <c r="I15" s="494"/>
      <c r="J15" s="494"/>
      <c r="K15" s="494"/>
      <c r="L15" s="495"/>
      <c r="M15" s="497"/>
      <c r="N15" s="497"/>
      <c r="O15" s="119"/>
      <c r="P15" s="155"/>
      <c r="Q15" s="452"/>
      <c r="R15" s="155"/>
      <c r="S15" s="457"/>
      <c r="T15" s="460" t="s">
        <v>268</v>
      </c>
      <c r="U15" s="459"/>
      <c r="V15" s="459"/>
      <c r="W15" s="459"/>
      <c r="X15" s="459"/>
      <c r="Y15" s="459"/>
      <c r="Z15" s="459"/>
      <c r="AA15" s="459"/>
      <c r="AB15" s="459"/>
      <c r="AC15" s="459"/>
      <c r="AD15" s="459"/>
      <c r="AE15" s="459"/>
      <c r="AF15" s="459"/>
      <c r="AG15" s="459"/>
      <c r="AH15" s="459"/>
      <c r="AI15" s="459"/>
      <c r="AJ15" s="459"/>
      <c r="AK15" s="459"/>
      <c r="AL15" s="459"/>
      <c r="AM15" s="459"/>
      <c r="AO15" s="117"/>
      <c r="AP15" s="117" t="str">
        <f aca="false">IF(T15="","",T15)</f>
        <v>Добавить территорию для дифференциации</v>
      </c>
      <c r="AQ15" s="117"/>
      <c r="AR15" s="117"/>
    </row>
    <row r="16" customFormat="false" ht="14.25" hidden="true" customHeight="true" outlineLevel="0" collapsed="false"/>
    <row r="17" customFormat="false" ht="14.25" hidden="true" customHeight="true" outlineLevel="0" collapsed="false">
      <c r="AD17" s="461"/>
      <c r="AE17" s="461"/>
      <c r="AF17" s="461"/>
      <c r="AG17" s="462"/>
      <c r="AH17" s="463"/>
      <c r="AI17" s="464" t="s">
        <v>63</v>
      </c>
      <c r="AJ17" s="463"/>
      <c r="AK17" s="464" t="s">
        <v>63</v>
      </c>
    </row>
    <row r="18" customFormat="false" ht="14.25" hidden="true" customHeight="true" outlineLevel="0" collapsed="false">
      <c r="AD18" s="461"/>
      <c r="AE18" s="461"/>
      <c r="AF18" s="461"/>
      <c r="AG18" s="443" t="str">
        <f aca="false">AH17&amp;"-"&amp;AJ17</f>
        <v>-</v>
      </c>
      <c r="AH18" s="463"/>
      <c r="AI18" s="463"/>
      <c r="AJ18" s="463"/>
      <c r="AK18" s="463"/>
    </row>
    <row r="19" customFormat="false" ht="14.25" hidden="true" customHeight="true" outlineLevel="0" collapsed="false"/>
    <row r="20" s="45" customFormat="true" ht="14.25" hidden="true" customHeight="true" outlineLevel="0" collapsed="false">
      <c r="A20" s="42"/>
      <c r="B20" s="42"/>
      <c r="C20" s="42"/>
      <c r="D20" s="42"/>
      <c r="E20" s="42"/>
      <c r="F20" s="42"/>
      <c r="G20" s="42"/>
      <c r="H20" s="42"/>
      <c r="I20" s="42"/>
      <c r="J20" s="42"/>
      <c r="K20" s="42"/>
      <c r="L20" s="43"/>
      <c r="M20" s="50"/>
      <c r="N20" s="50"/>
      <c r="O20" s="498" t="s">
        <v>431</v>
      </c>
      <c r="P20" s="51"/>
      <c r="Q20" s="466"/>
      <c r="R20" s="466"/>
      <c r="S20" s="40"/>
      <c r="Z20" s="465"/>
      <c r="AB20" s="465"/>
      <c r="AH20" s="465"/>
      <c r="AJ20" s="465"/>
      <c r="AN20" s="47"/>
      <c r="AO20" s="47"/>
      <c r="AP20" s="47"/>
      <c r="AQ20" s="47"/>
      <c r="AR20" s="47"/>
    </row>
    <row r="21" s="45" customFormat="true" ht="14.25" hidden="true" customHeight="true" outlineLevel="0" collapsed="false">
      <c r="A21" s="42"/>
      <c r="B21" s="42"/>
      <c r="C21" s="42"/>
      <c r="D21" s="42"/>
      <c r="E21" s="42"/>
      <c r="F21" s="42"/>
      <c r="G21" s="42"/>
      <c r="H21" s="42"/>
      <c r="I21" s="42"/>
      <c r="J21" s="42"/>
      <c r="K21" s="42"/>
      <c r="L21" s="43"/>
      <c r="M21" s="50"/>
      <c r="N21" s="50"/>
      <c r="O21" s="50"/>
      <c r="P21" s="51"/>
      <c r="Q21" s="466"/>
      <c r="R21" s="466"/>
      <c r="S21" s="40"/>
      <c r="AN21" s="47"/>
      <c r="AO21" s="47"/>
      <c r="AP21" s="47"/>
      <c r="AQ21" s="47"/>
      <c r="AR21" s="47"/>
    </row>
    <row r="22" s="45" customFormat="true" ht="14.25" hidden="true" customHeight="true" outlineLevel="0" collapsed="false">
      <c r="A22" s="42"/>
      <c r="B22" s="42"/>
      <c r="C22" s="42"/>
      <c r="D22" s="42"/>
      <c r="E22" s="42"/>
      <c r="F22" s="42"/>
      <c r="G22" s="42"/>
      <c r="H22" s="42"/>
      <c r="I22" s="42"/>
      <c r="J22" s="42"/>
      <c r="K22" s="42"/>
      <c r="L22" s="43"/>
      <c r="M22" s="50"/>
      <c r="N22" s="50"/>
      <c r="O22" s="493" t="s">
        <v>432</v>
      </c>
      <c r="P22" s="51"/>
      <c r="Q22" s="466"/>
      <c r="R22" s="466"/>
      <c r="S22" s="40"/>
      <c r="T22" s="45" t="s">
        <v>433</v>
      </c>
      <c r="AA22" s="139" t="s">
        <v>434</v>
      </c>
      <c r="AC22" s="139" t="s">
        <v>435</v>
      </c>
      <c r="AD22" s="45" t="s">
        <v>433</v>
      </c>
      <c r="AI22" s="139" t="s">
        <v>436</v>
      </c>
      <c r="AK22" s="139" t="s">
        <v>435</v>
      </c>
      <c r="AN22" s="47"/>
      <c r="AO22" s="47"/>
      <c r="AP22" s="47"/>
      <c r="AQ22" s="47"/>
      <c r="AR22" s="47"/>
    </row>
    <row r="23" customFormat="false" ht="14.25" hidden="true" customHeight="true" outlineLevel="0" collapsed="false">
      <c r="O23" s="493"/>
    </row>
    <row r="24" customFormat="false" ht="14.25" hidden="true" customHeight="true" outlineLevel="0" collapsed="false">
      <c r="O24" s="493"/>
    </row>
    <row r="25" customFormat="false" ht="14.25" hidden="false" customHeight="true" outlineLevel="0" collapsed="false">
      <c r="Q25" s="467"/>
      <c r="R25" s="467"/>
      <c r="S25" s="468"/>
      <c r="T25" s="79"/>
      <c r="U25" s="79"/>
    </row>
    <row r="26" customFormat="false" ht="14.25" hidden="false" customHeight="true" outlineLevel="0" collapsed="false">
      <c r="Q26" s="467"/>
      <c r="R26" s="467"/>
      <c r="S26" s="212"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
      <c r="U26" s="212"/>
      <c r="V26" s="212"/>
      <c r="W26" s="212"/>
      <c r="X26" s="212"/>
      <c r="Y26" s="212"/>
      <c r="Z26" s="212"/>
      <c r="AA26" s="212"/>
      <c r="AB26" s="212"/>
      <c r="AC26" s="212"/>
      <c r="AD26" s="212"/>
      <c r="AE26" s="212"/>
      <c r="AF26" s="212"/>
      <c r="AG26" s="212"/>
      <c r="AH26" s="212"/>
      <c r="AI26" s="212"/>
      <c r="AJ26" s="212"/>
      <c r="AK26" s="214"/>
    </row>
    <row r="27" customFormat="false" ht="14.25" hidden="false" customHeight="true" outlineLevel="0" collapsed="false">
      <c r="Q27" s="467"/>
      <c r="R27" s="467"/>
      <c r="S27" s="265" t="str">
        <f aca="false">IF(org=0,"Не определено",org)</f>
        <v>ООО "Газпром теплоэнерго Ярославль"</v>
      </c>
      <c r="T27" s="265"/>
      <c r="U27" s="265"/>
      <c r="V27" s="265"/>
      <c r="W27" s="265"/>
      <c r="X27" s="265"/>
      <c r="Y27" s="265"/>
      <c r="Z27" s="265"/>
      <c r="AA27" s="265"/>
      <c r="AB27" s="265"/>
      <c r="AC27" s="265"/>
      <c r="AD27" s="265"/>
      <c r="AE27" s="265"/>
      <c r="AF27" s="265"/>
      <c r="AG27" s="265"/>
      <c r="AH27" s="265"/>
      <c r="AI27" s="265"/>
      <c r="AJ27" s="265"/>
      <c r="AK27" s="214"/>
    </row>
    <row r="28" customFormat="false" ht="14.25" hidden="true" customHeight="true" outlineLevel="0" collapsed="false">
      <c r="Q28" s="467"/>
      <c r="R28" s="467"/>
      <c r="S28" s="468"/>
      <c r="T28" s="79"/>
      <c r="U28" s="79"/>
      <c r="V28" s="469"/>
      <c r="W28" s="469"/>
      <c r="X28" s="469"/>
      <c r="Y28" s="469"/>
      <c r="Z28" s="469"/>
      <c r="AA28" s="469"/>
      <c r="AB28" s="469"/>
      <c r="AC28" s="469"/>
      <c r="AD28" s="469"/>
      <c r="AE28" s="469"/>
      <c r="AF28" s="469"/>
      <c r="AG28" s="469"/>
      <c r="AH28" s="469"/>
      <c r="AI28" s="469"/>
      <c r="AJ28" s="469"/>
      <c r="AK28" s="469"/>
    </row>
    <row r="29" s="174" customFormat="true" ht="25.5" hidden="true" customHeight="true" outlineLevel="0" collapsed="false">
      <c r="A29" s="95"/>
      <c r="B29" s="95"/>
      <c r="C29" s="95"/>
      <c r="D29" s="95"/>
      <c r="E29" s="95"/>
      <c r="F29" s="95"/>
      <c r="G29" s="95"/>
      <c r="H29" s="95"/>
      <c r="I29" s="95"/>
      <c r="J29" s="95"/>
      <c r="K29" s="95"/>
      <c r="L29" s="493"/>
      <c r="M29" s="95"/>
      <c r="N29" s="95"/>
      <c r="O29" s="95"/>
      <c r="S29" s="470" t="s">
        <v>37</v>
      </c>
      <c r="T29" s="470"/>
      <c r="U29" s="471"/>
      <c r="V29" s="472" t="str">
        <f aca="false">IF(TITLE_NAME_OR_PR_CHANGE="",IF(TITLE_NAME_OR_PR="","",TITLE_NAME_OR_PR),TITLE_NAME_OR_PR_CHANGE)</f>
        <v>Министерство тарифного регулирования Ярославской области</v>
      </c>
      <c r="W29" s="472"/>
      <c r="X29" s="472"/>
      <c r="Y29" s="472"/>
      <c r="Z29" s="472"/>
      <c r="AA29" s="472"/>
      <c r="AB29" s="472"/>
      <c r="AC29" s="42"/>
      <c r="AD29" s="472" t="str">
        <f aca="false">IF(TITLE_NAME_OR_PR_CHANGE="",IF(TITLE_NAME_OR_PR="","",TITLE_NAME_OR_PR),TITLE_NAME_OR_PR_CHANGE)</f>
        <v>Министерство тарифного регулирования Ярославской области</v>
      </c>
      <c r="AE29" s="472"/>
      <c r="AF29" s="472"/>
      <c r="AG29" s="472"/>
      <c r="AH29" s="472"/>
      <c r="AI29" s="472"/>
      <c r="AJ29" s="472"/>
      <c r="AK29" s="42"/>
      <c r="AL29" s="42"/>
      <c r="AM29" s="473"/>
      <c r="AN29" s="117"/>
      <c r="AO29" s="117"/>
      <c r="AP29" s="117"/>
      <c r="AQ29" s="117"/>
      <c r="AR29" s="117"/>
    </row>
    <row r="30" s="174" customFormat="true" ht="18.75" hidden="true" customHeight="true" outlineLevel="0" collapsed="false">
      <c r="A30" s="95"/>
      <c r="B30" s="95"/>
      <c r="C30" s="95"/>
      <c r="D30" s="95"/>
      <c r="E30" s="95"/>
      <c r="F30" s="95"/>
      <c r="G30" s="95"/>
      <c r="H30" s="95"/>
      <c r="I30" s="95"/>
      <c r="J30" s="95"/>
      <c r="K30" s="95"/>
      <c r="L30" s="493"/>
      <c r="M30" s="95"/>
      <c r="N30" s="95"/>
      <c r="O30" s="95"/>
      <c r="S30" s="470" t="s">
        <v>437</v>
      </c>
      <c r="T30" s="470"/>
      <c r="U30" s="471"/>
      <c r="V30" s="474" t="str">
        <f aca="false">IF(TITLE_DATE_PR_CHANGE="",IF(TITLE_DATE_PR="","",TITLE_DATE_PR),TITLE_DATE_PR_CHANGE)</f>
        <v>45279.46460648148</v>
      </c>
      <c r="W30" s="474"/>
      <c r="X30" s="474"/>
      <c r="Y30" s="474"/>
      <c r="Z30" s="474"/>
      <c r="AA30" s="474"/>
      <c r="AB30" s="474"/>
      <c r="AC30" s="42"/>
      <c r="AD30" s="474" t="str">
        <f aca="false">IF(TITLE_DATE_PR_CHANGE="",IF(TITLE_DATE_PR="","",TITLE_DATE_PR),TITLE_DATE_PR_CHANGE)</f>
        <v>45279.46460648148</v>
      </c>
      <c r="AE30" s="474"/>
      <c r="AF30" s="474"/>
      <c r="AG30" s="474"/>
      <c r="AH30" s="474"/>
      <c r="AI30" s="474"/>
      <c r="AJ30" s="474"/>
      <c r="AK30" s="42"/>
      <c r="AL30" s="42"/>
      <c r="AM30" s="473"/>
      <c r="AN30" s="117"/>
      <c r="AO30" s="117"/>
      <c r="AP30" s="117"/>
      <c r="AQ30" s="117"/>
      <c r="AR30" s="117"/>
    </row>
    <row r="31" s="174" customFormat="true" ht="18.75" hidden="true" customHeight="true" outlineLevel="0" collapsed="false">
      <c r="A31" s="95"/>
      <c r="B31" s="95"/>
      <c r="C31" s="95"/>
      <c r="D31" s="95"/>
      <c r="E31" s="95"/>
      <c r="F31" s="95"/>
      <c r="G31" s="95"/>
      <c r="H31" s="95"/>
      <c r="I31" s="95"/>
      <c r="J31" s="95"/>
      <c r="K31" s="95"/>
      <c r="L31" s="493"/>
      <c r="M31" s="95"/>
      <c r="N31" s="95"/>
      <c r="O31" s="95"/>
      <c r="S31" s="470" t="s">
        <v>438</v>
      </c>
      <c r="T31" s="470"/>
      <c r="U31" s="471"/>
      <c r="V31" s="472" t="str">
        <f aca="false">IF(TITLE_NUMBER_PR_CHANGE="",IF(TITLE_NUMBER_PR="","",TITLE_NUMBER_PR),TITLE_NUMBER_PR_CHANGE)</f>
        <v>403-гвс, 404-гвс, 406-гвс</v>
      </c>
      <c r="W31" s="472"/>
      <c r="X31" s="472"/>
      <c r="Y31" s="472"/>
      <c r="Z31" s="472"/>
      <c r="AA31" s="472"/>
      <c r="AB31" s="472"/>
      <c r="AC31" s="42"/>
      <c r="AD31" s="472" t="str">
        <f aca="false">IF(TITLE_NUMBER_PR_CHANGE="",IF(TITLE_NUMBER_PR="","",TITLE_NUMBER_PR),TITLE_NUMBER_PR_CHANGE)</f>
        <v>403-гвс, 404-гвс, 406-гвс</v>
      </c>
      <c r="AE31" s="472"/>
      <c r="AF31" s="472"/>
      <c r="AG31" s="472"/>
      <c r="AH31" s="472"/>
      <c r="AI31" s="472"/>
      <c r="AJ31" s="472"/>
      <c r="AK31" s="42"/>
      <c r="AL31" s="42"/>
      <c r="AM31" s="473"/>
      <c r="AN31" s="117"/>
      <c r="AO31" s="117"/>
      <c r="AP31" s="117"/>
      <c r="AQ31" s="117"/>
      <c r="AR31" s="117"/>
    </row>
    <row r="32" s="174" customFormat="true" ht="18.75" hidden="true" customHeight="true" outlineLevel="0" collapsed="false">
      <c r="A32" s="95"/>
      <c r="B32" s="95"/>
      <c r="C32" s="95"/>
      <c r="D32" s="95"/>
      <c r="E32" s="95"/>
      <c r="F32" s="95"/>
      <c r="G32" s="95"/>
      <c r="H32" s="95"/>
      <c r="I32" s="95"/>
      <c r="J32" s="95"/>
      <c r="K32" s="95"/>
      <c r="L32" s="493"/>
      <c r="M32" s="95"/>
      <c r="N32" s="95"/>
      <c r="O32" s="95"/>
      <c r="S32" s="470" t="s">
        <v>39</v>
      </c>
      <c r="T32" s="470"/>
      <c r="U32" s="471"/>
      <c r="V32" s="472" t="str">
        <f aca="false">IF(TITLE_IST_PUB_CHANGE="",IF(TITLE_IST_PUB="","",TITLE_IST_PUB),TITLE_IST_PUB_CHANGE)</f>
        <v>официальный интернет- портал правовой информации www.pravo.gov.ru</v>
      </c>
      <c r="W32" s="472"/>
      <c r="X32" s="472"/>
      <c r="Y32" s="472"/>
      <c r="Z32" s="472"/>
      <c r="AA32" s="472"/>
      <c r="AB32" s="472"/>
      <c r="AC32" s="42"/>
      <c r="AD32" s="472" t="str">
        <f aca="false">IF(TITLE_IST_PUB_CHANGE="",IF(TITLE_IST_PUB="","",TITLE_IST_PUB),TITLE_IST_PUB_CHANGE)</f>
        <v>официальный интернет- портал правовой информации www.pravo.gov.ru</v>
      </c>
      <c r="AE32" s="472"/>
      <c r="AF32" s="472"/>
      <c r="AG32" s="472"/>
      <c r="AH32" s="472"/>
      <c r="AI32" s="472"/>
      <c r="AJ32" s="472"/>
      <c r="AK32" s="42"/>
      <c r="AL32" s="42"/>
      <c r="AM32" s="473"/>
      <c r="AN32" s="117"/>
      <c r="AO32" s="117"/>
      <c r="AP32" s="117"/>
      <c r="AQ32" s="117"/>
      <c r="AR32" s="117"/>
    </row>
    <row r="33" customFormat="false" ht="14.25" hidden="true" customHeight="true" outlineLevel="0" collapsed="false">
      <c r="Q33" s="467"/>
      <c r="R33" s="467"/>
      <c r="S33" s="468"/>
      <c r="T33" s="79"/>
      <c r="U33" s="79"/>
      <c r="V33" s="469"/>
      <c r="W33" s="469"/>
      <c r="X33" s="469"/>
      <c r="Y33" s="469"/>
      <c r="Z33" s="469"/>
      <c r="AA33" s="469"/>
      <c r="AB33" s="469"/>
      <c r="AC33" s="469"/>
      <c r="AD33" s="469"/>
      <c r="AE33" s="469"/>
      <c r="AF33" s="469"/>
      <c r="AG33" s="469"/>
      <c r="AH33" s="469"/>
      <c r="AI33" s="469"/>
      <c r="AJ33" s="469"/>
      <c r="AK33" s="469"/>
    </row>
    <row r="34" s="174" customFormat="true" ht="18.75" hidden="true" customHeight="true" outlineLevel="0" collapsed="false">
      <c r="A34" s="95"/>
      <c r="B34" s="95"/>
      <c r="C34" s="95"/>
      <c r="D34" s="95"/>
      <c r="E34" s="95"/>
      <c r="F34" s="95"/>
      <c r="G34" s="95"/>
      <c r="H34" s="95"/>
      <c r="I34" s="95"/>
      <c r="J34" s="95"/>
      <c r="K34" s="95"/>
      <c r="L34" s="493"/>
      <c r="M34" s="95"/>
      <c r="N34" s="95"/>
      <c r="O34" s="95"/>
      <c r="S34" s="470" t="s">
        <v>439</v>
      </c>
      <c r="T34" s="470"/>
      <c r="U34" s="471"/>
      <c r="V34" s="474" t="str">
        <f aca="false">IF(TITLE_DATE_PR_CHANGE="",IF(TITLE_DATE_PR="","",TITLE_DATE_PR),TITLE_DATE_PR_CHANGE)</f>
        <v>45279.46460648148</v>
      </c>
      <c r="W34" s="474"/>
      <c r="X34" s="474"/>
      <c r="Y34" s="474"/>
      <c r="Z34" s="474"/>
      <c r="AA34" s="474"/>
      <c r="AB34" s="474"/>
      <c r="AC34" s="42"/>
      <c r="AD34" s="474" t="str">
        <f aca="false">IF(TITLE_DATE_PR_CHANGE="",IF(TITLE_DATE_PR="","",TITLE_DATE_PR),TITLE_DATE_PR_CHANGE)</f>
        <v>45279.46460648148</v>
      </c>
      <c r="AE34" s="474"/>
      <c r="AF34" s="474"/>
      <c r="AG34" s="474"/>
      <c r="AH34" s="474"/>
      <c r="AI34" s="474"/>
      <c r="AJ34" s="474"/>
      <c r="AK34" s="42"/>
      <c r="AL34" s="42"/>
      <c r="AM34" s="473"/>
      <c r="AN34" s="117"/>
      <c r="AO34" s="117"/>
      <c r="AP34" s="117"/>
      <c r="AQ34" s="117"/>
      <c r="AR34" s="117"/>
    </row>
    <row r="35" s="174" customFormat="true" ht="18.75" hidden="true" customHeight="true" outlineLevel="0" collapsed="false">
      <c r="A35" s="95"/>
      <c r="B35" s="95"/>
      <c r="C35" s="95"/>
      <c r="D35" s="95"/>
      <c r="E35" s="95"/>
      <c r="F35" s="95"/>
      <c r="G35" s="95"/>
      <c r="H35" s="95"/>
      <c r="I35" s="95"/>
      <c r="J35" s="95"/>
      <c r="K35" s="95"/>
      <c r="L35" s="493"/>
      <c r="M35" s="95"/>
      <c r="N35" s="95"/>
      <c r="O35" s="95"/>
      <c r="S35" s="470" t="s">
        <v>440</v>
      </c>
      <c r="T35" s="470"/>
      <c r="U35" s="471"/>
      <c r="V35" s="472" t="str">
        <f aca="false">IF(TITLE_NUMBER_PR_CHANGE="",IF(TITLE_NUMBER_PR="","",TITLE_NUMBER_PR),TITLE_NUMBER_PR_CHANGE)</f>
        <v>403-гвс, 404-гвс, 406-гвс</v>
      </c>
      <c r="W35" s="472"/>
      <c r="X35" s="472"/>
      <c r="Y35" s="472"/>
      <c r="Z35" s="472"/>
      <c r="AA35" s="472"/>
      <c r="AB35" s="472"/>
      <c r="AC35" s="42"/>
      <c r="AD35" s="472" t="str">
        <f aca="false">IF(TITLE_NUMBER_PR_CHANGE="",IF(TITLE_NUMBER_PR="","",TITLE_NUMBER_PR),TITLE_NUMBER_PR_CHANGE)</f>
        <v>403-гвс, 404-гвс, 406-гвс</v>
      </c>
      <c r="AE35" s="472"/>
      <c r="AF35" s="472"/>
      <c r="AG35" s="472"/>
      <c r="AH35" s="472"/>
      <c r="AI35" s="472"/>
      <c r="AJ35" s="472"/>
      <c r="AK35" s="42"/>
      <c r="AL35" s="42"/>
      <c r="AM35" s="473"/>
      <c r="AN35" s="117"/>
      <c r="AO35" s="117"/>
      <c r="AP35" s="117"/>
      <c r="AQ35" s="117"/>
      <c r="AR35" s="117"/>
    </row>
    <row r="36" s="174" customFormat="true" ht="12.8" hidden="false" customHeight="false" outlineLevel="0" collapsed="false">
      <c r="A36" s="95"/>
      <c r="B36" s="95"/>
      <c r="C36" s="95"/>
      <c r="D36" s="95"/>
      <c r="E36" s="95"/>
      <c r="F36" s="95"/>
      <c r="G36" s="95"/>
      <c r="H36" s="95"/>
      <c r="I36" s="95"/>
      <c r="J36" s="95"/>
      <c r="K36" s="95"/>
      <c r="L36" s="493"/>
      <c r="M36" s="95"/>
      <c r="N36" s="95"/>
      <c r="O36" s="95"/>
      <c r="S36" s="42"/>
      <c r="T36" s="42"/>
      <c r="U36" s="127"/>
      <c r="V36" s="42"/>
      <c r="W36" s="42"/>
      <c r="X36" s="42"/>
      <c r="Y36" s="42"/>
      <c r="Z36" s="42"/>
      <c r="AA36" s="42"/>
      <c r="AB36" s="42"/>
      <c r="AC36" s="47" t="s">
        <v>441</v>
      </c>
      <c r="AD36" s="42"/>
      <c r="AE36" s="42"/>
      <c r="AF36" s="42"/>
      <c r="AG36" s="42"/>
      <c r="AH36" s="42"/>
      <c r="AI36" s="42"/>
      <c r="AJ36" s="42"/>
      <c r="AK36" s="47" t="s">
        <v>441</v>
      </c>
      <c r="AN36" s="117"/>
      <c r="AO36" s="117"/>
      <c r="AP36" s="117"/>
      <c r="AQ36" s="117"/>
      <c r="AR36" s="117"/>
    </row>
    <row r="37" customFormat="false" ht="14.25" hidden="false" customHeight="true" outlineLevel="0" collapsed="false">
      <c r="Q37" s="467"/>
      <c r="R37" s="467"/>
      <c r="S37" s="468"/>
      <c r="T37" s="79"/>
      <c r="U37" s="475"/>
      <c r="V37" s="476"/>
      <c r="W37" s="476"/>
      <c r="X37" s="476"/>
      <c r="Y37" s="476"/>
      <c r="Z37" s="476"/>
      <c r="AA37" s="476"/>
      <c r="AB37" s="476"/>
      <c r="AC37" s="476"/>
      <c r="AD37" s="476"/>
      <c r="AE37" s="476"/>
      <c r="AF37" s="476"/>
      <c r="AG37" s="476"/>
      <c r="AH37" s="476"/>
      <c r="AI37" s="476"/>
      <c r="AJ37" s="476"/>
      <c r="AK37" s="476"/>
    </row>
    <row r="38" customFormat="false" ht="14.25" hidden="false" customHeight="true" outlineLevel="0" collapsed="false">
      <c r="Q38" s="467"/>
      <c r="R38" s="467"/>
      <c r="S38" s="133" t="s">
        <v>316</v>
      </c>
      <c r="T38" s="133"/>
      <c r="U38" s="133"/>
      <c r="V38" s="133"/>
      <c r="W38" s="133"/>
      <c r="X38" s="133"/>
      <c r="Y38" s="133"/>
      <c r="Z38" s="133"/>
      <c r="AA38" s="133"/>
      <c r="AB38" s="133"/>
      <c r="AC38" s="133"/>
      <c r="AD38" s="133"/>
      <c r="AE38" s="133"/>
      <c r="AF38" s="133"/>
      <c r="AG38" s="133"/>
      <c r="AH38" s="133"/>
      <c r="AI38" s="133"/>
      <c r="AJ38" s="133"/>
      <c r="AK38" s="133"/>
      <c r="AL38" s="133"/>
      <c r="AM38" s="133" t="s">
        <v>317</v>
      </c>
    </row>
    <row r="39" customFormat="false" ht="14.25" hidden="false" customHeight="true" outlineLevel="0" collapsed="false">
      <c r="Q39" s="467"/>
      <c r="R39" s="467"/>
      <c r="S39" s="477" t="s">
        <v>84</v>
      </c>
      <c r="T39" s="394" t="s">
        <v>442</v>
      </c>
      <c r="U39" s="478"/>
      <c r="V39" s="300" t="s">
        <v>443</v>
      </c>
      <c r="W39" s="300"/>
      <c r="X39" s="300"/>
      <c r="Y39" s="300"/>
      <c r="Z39" s="300"/>
      <c r="AA39" s="300"/>
      <c r="AB39" s="300"/>
      <c r="AC39" s="394" t="s">
        <v>444</v>
      </c>
      <c r="AD39" s="300" t="s">
        <v>443</v>
      </c>
      <c r="AE39" s="300"/>
      <c r="AF39" s="300"/>
      <c r="AG39" s="300"/>
      <c r="AH39" s="300"/>
      <c r="AI39" s="300"/>
      <c r="AJ39" s="300"/>
      <c r="AK39" s="394" t="s">
        <v>445</v>
      </c>
      <c r="AL39" s="479" t="s">
        <v>446</v>
      </c>
      <c r="AM39" s="133"/>
    </row>
    <row r="40" customFormat="false" ht="33.75" hidden="false" customHeight="true" outlineLevel="0" collapsed="false">
      <c r="Q40" s="467"/>
      <c r="R40" s="467"/>
      <c r="S40" s="477"/>
      <c r="T40" s="394"/>
      <c r="U40" s="480"/>
      <c r="V40" s="133" t="s">
        <v>447</v>
      </c>
      <c r="W40" s="431" t="s">
        <v>448</v>
      </c>
      <c r="X40" s="133" t="s">
        <v>449</v>
      </c>
      <c r="Y40" s="133"/>
      <c r="Z40" s="133" t="s">
        <v>462</v>
      </c>
      <c r="AA40" s="133"/>
      <c r="AB40" s="133"/>
      <c r="AC40" s="394"/>
      <c r="AD40" s="133" t="s">
        <v>447</v>
      </c>
      <c r="AE40" s="431" t="s">
        <v>448</v>
      </c>
      <c r="AF40" s="133" t="s">
        <v>449</v>
      </c>
      <c r="AG40" s="133"/>
      <c r="AH40" s="133" t="s">
        <v>450</v>
      </c>
      <c r="AI40" s="133"/>
      <c r="AJ40" s="133"/>
      <c r="AK40" s="394"/>
      <c r="AL40" s="479"/>
      <c r="AM40" s="133"/>
    </row>
    <row r="41" customFormat="false" ht="33.75" hidden="false" customHeight="true" outlineLevel="0" collapsed="false">
      <c r="A41" s="95"/>
      <c r="B41" s="95" t="s">
        <v>142</v>
      </c>
      <c r="C41" s="95" t="s">
        <v>143</v>
      </c>
      <c r="D41" s="95" t="s">
        <v>144</v>
      </c>
      <c r="E41" s="493" t="s">
        <v>451</v>
      </c>
      <c r="F41" s="493" t="s">
        <v>452</v>
      </c>
      <c r="G41" s="493" t="s">
        <v>453</v>
      </c>
      <c r="H41" s="493" t="s">
        <v>454</v>
      </c>
      <c r="I41" s="493" t="s">
        <v>455</v>
      </c>
      <c r="J41" s="493" t="s">
        <v>456</v>
      </c>
      <c r="K41" s="493" t="s">
        <v>457</v>
      </c>
      <c r="L41" s="493" t="s">
        <v>432</v>
      </c>
      <c r="Q41" s="467"/>
      <c r="R41" s="467"/>
      <c r="S41" s="477"/>
      <c r="T41" s="394"/>
      <c r="U41" s="481"/>
      <c r="V41" s="133"/>
      <c r="W41" s="431"/>
      <c r="X41" s="184" t="s">
        <v>458</v>
      </c>
      <c r="Y41" s="184" t="s">
        <v>459</v>
      </c>
      <c r="Z41" s="184" t="s">
        <v>460</v>
      </c>
      <c r="AA41" s="184" t="s">
        <v>461</v>
      </c>
      <c r="AB41" s="184"/>
      <c r="AC41" s="394"/>
      <c r="AD41" s="133"/>
      <c r="AE41" s="431"/>
      <c r="AF41" s="184" t="s">
        <v>458</v>
      </c>
      <c r="AG41" s="184" t="s">
        <v>459</v>
      </c>
      <c r="AH41" s="184" t="s">
        <v>460</v>
      </c>
      <c r="AI41" s="184" t="s">
        <v>461</v>
      </c>
      <c r="AJ41" s="184"/>
      <c r="AK41" s="394"/>
      <c r="AL41" s="479"/>
      <c r="AM41" s="133"/>
    </row>
    <row r="42" s="119" customFormat="true" ht="11.25" hidden="true" customHeight="true" outlineLevel="0" collapsed="false">
      <c r="A42" s="95"/>
      <c r="B42" s="95"/>
      <c r="C42" s="95"/>
      <c r="D42" s="95"/>
      <c r="E42" s="95"/>
      <c r="F42" s="95"/>
      <c r="G42" s="95"/>
      <c r="H42" s="95"/>
      <c r="I42" s="95"/>
      <c r="J42" s="95"/>
      <c r="K42" s="95"/>
      <c r="L42" s="493"/>
      <c r="M42" s="50"/>
      <c r="N42" s="50"/>
      <c r="O42" s="50"/>
      <c r="P42" s="482"/>
      <c r="Q42" s="483"/>
      <c r="R42" s="484" t="n">
        <v>1</v>
      </c>
      <c r="S42" s="485" t="s">
        <v>117</v>
      </c>
      <c r="T42" s="486" t="s">
        <v>99</v>
      </c>
      <c r="U42" s="487" t="str">
        <f aca="true">OFFSET(U42,0,-1)</f>
        <v>2</v>
      </c>
      <c r="V42" s="488" t="n">
        <f aca="true">OFFSET(V42,0,-1)+1</f>
        <v>3</v>
      </c>
      <c r="W42" s="488"/>
      <c r="X42" s="488" t="n">
        <f aca="true">OFFSET(X42,0,-1)+1</f>
        <v>1</v>
      </c>
      <c r="Y42" s="488" t="n">
        <f aca="true">OFFSET(Y42,0,-1)+1</f>
        <v>2</v>
      </c>
      <c r="Z42" s="488" t="n">
        <f aca="true">OFFSET(Z42,0,-1)+1</f>
        <v>3</v>
      </c>
      <c r="AA42" s="488" t="n">
        <f aca="true">OFFSET(AA42,0,-1)+1</f>
        <v>4</v>
      </c>
      <c r="AB42" s="488"/>
      <c r="AC42" s="488" t="n">
        <f aca="true">OFFSET(AC42,0,-2)+1</f>
        <v>5</v>
      </c>
      <c r="AD42" s="488" t="n">
        <f aca="true">OFFSET(AD42,0,-1)+1</f>
        <v>6</v>
      </c>
      <c r="AE42" s="488"/>
      <c r="AF42" s="488" t="n">
        <f aca="true">OFFSET(AF42,0,-1)+1</f>
        <v>1</v>
      </c>
      <c r="AG42" s="488" t="n">
        <f aca="true">OFFSET(AG42,0,-1)+1</f>
        <v>2</v>
      </c>
      <c r="AH42" s="488" t="n">
        <f aca="true">OFFSET(AH42,0,-1)+1</f>
        <v>3</v>
      </c>
      <c r="AI42" s="488" t="n">
        <f aca="true">OFFSET(AI42,0,-1)+1</f>
        <v>4</v>
      </c>
      <c r="AJ42" s="488"/>
      <c r="AK42" s="488" t="n">
        <f aca="true">OFFSET(AK42,0,-2)+1</f>
        <v>5</v>
      </c>
      <c r="AL42" s="487" t="n">
        <f aca="true">OFFSET(AL42,0,-1)</f>
        <v>5</v>
      </c>
      <c r="AM42" s="488" t="n">
        <f aca="true">OFFSET(AM42,0,-1)+1</f>
        <v>6</v>
      </c>
      <c r="AN42" s="47"/>
      <c r="AO42" s="47"/>
      <c r="AP42" s="47"/>
      <c r="AQ42" s="47"/>
      <c r="AR42" s="47"/>
    </row>
    <row r="43" customFormat="false" ht="21" hidden="false" customHeight="true" outlineLevel="0" collapsed="false">
      <c r="A43" s="233" t="s">
        <v>217</v>
      </c>
      <c r="B43" s="233"/>
      <c r="C43" s="233"/>
      <c r="D43" s="233"/>
      <c r="E43" s="492" t="n">
        <v>1</v>
      </c>
      <c r="F43" s="233"/>
      <c r="G43" s="233"/>
      <c r="H43" s="233"/>
      <c r="I43" s="233"/>
      <c r="J43" s="233"/>
      <c r="K43" s="233"/>
      <c r="L43" s="493"/>
      <c r="M43" s="75"/>
      <c r="N43" s="75"/>
      <c r="O43" s="75"/>
      <c r="Q43" s="131"/>
      <c r="R43" s="418"/>
      <c r="S43" s="419" t="n">
        <f aca="false">INDEX(PT_DIFFERENTIATION_NUM_NTAR,MATCH(A43,PT_DIFFERENTIATION_NTAR_ID,0))</f>
        <v>0</v>
      </c>
      <c r="T43" s="420" t="s">
        <v>130</v>
      </c>
      <c r="U43" s="421"/>
      <c r="V43" s="422"/>
      <c r="W43" s="422"/>
      <c r="X43" s="422"/>
      <c r="Y43" s="422"/>
      <c r="Z43" s="422"/>
      <c r="AA43" s="422"/>
      <c r="AB43" s="422"/>
      <c r="AC43" s="422"/>
      <c r="AD43" s="423" t="str">
        <f aca="false">INDEX(PT_DIFFERENTIATION_NTAR,MATCH(A43,PT_DIFFERENTIATION_NTAR_ID,0))</f>
        <v/>
      </c>
      <c r="AE43" s="423"/>
      <c r="AF43" s="423"/>
      <c r="AG43" s="423"/>
      <c r="AH43" s="423"/>
      <c r="AI43" s="423"/>
      <c r="AJ43" s="423"/>
      <c r="AK43" s="423"/>
      <c r="AL43" s="423"/>
      <c r="AM43" s="424"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7"/>
      <c r="AP43" s="117" t="str">
        <f aca="false">IF(T43="","",T43)</f>
        <v>Наименование тарифа</v>
      </c>
      <c r="AQ43" s="117"/>
      <c r="AR43" s="117"/>
    </row>
    <row r="44" customFormat="false" ht="21" hidden="false" customHeight="true" outlineLevel="0" collapsed="false">
      <c r="A44" s="233" t="s">
        <v>217</v>
      </c>
      <c r="B44" s="233" t="s">
        <v>218</v>
      </c>
      <c r="C44" s="233"/>
      <c r="D44" s="233"/>
      <c r="E44" s="492"/>
      <c r="F44" s="492" t="n">
        <v>1</v>
      </c>
      <c r="G44" s="233"/>
      <c r="H44" s="233"/>
      <c r="I44" s="233"/>
      <c r="J44" s="233"/>
      <c r="K44" s="233"/>
      <c r="L44" s="493"/>
      <c r="M44" s="75"/>
      <c r="N44" s="75"/>
      <c r="O44" s="75"/>
      <c r="P44" s="43"/>
      <c r="Q44" s="425"/>
      <c r="R44" s="426"/>
      <c r="S44" s="419" t="str">
        <f aca="false">INDEX(PT_DIFFERENTIATION_NUM_TER,MATCH(B44,PT_DIFFERENTIATION_TER_ID,0))</f>
        <v>.</v>
      </c>
      <c r="T44" s="427" t="s">
        <v>413</v>
      </c>
      <c r="U44" s="421"/>
      <c r="V44" s="422"/>
      <c r="W44" s="422"/>
      <c r="X44" s="422"/>
      <c r="Y44" s="422"/>
      <c r="Z44" s="422"/>
      <c r="AA44" s="422"/>
      <c r="AB44" s="422"/>
      <c r="AC44" s="422"/>
      <c r="AD44" s="423" t="str">
        <f aca="false">INDEX(PT_DIFFERENTIATION_TER,MATCH(B44,PT_DIFFERENTIATION_TER_ID,0))</f>
        <v/>
      </c>
      <c r="AE44" s="423"/>
      <c r="AF44" s="423"/>
      <c r="AG44" s="423"/>
      <c r="AH44" s="423"/>
      <c r="AI44" s="423"/>
      <c r="AJ44" s="423"/>
      <c r="AK44" s="423"/>
      <c r="AL44" s="423"/>
      <c r="AM44" s="424" t="s">
        <v>414</v>
      </c>
      <c r="AO44" s="117"/>
      <c r="AP44" s="117" t="str">
        <f aca="false">IF(T44="","",T44)</f>
        <v>Территория действия тарифа</v>
      </c>
      <c r="AQ44" s="117"/>
      <c r="AR44" s="117"/>
    </row>
    <row r="45" customFormat="false" ht="23.25" hidden="false" customHeight="true" outlineLevel="0" collapsed="false">
      <c r="A45" s="233" t="s">
        <v>217</v>
      </c>
      <c r="B45" s="233" t="s">
        <v>218</v>
      </c>
      <c r="C45" s="233" t="s">
        <v>219</v>
      </c>
      <c r="D45" s="233"/>
      <c r="E45" s="492"/>
      <c r="F45" s="492"/>
      <c r="G45" s="492" t="n">
        <v>1</v>
      </c>
      <c r="H45" s="233"/>
      <c r="I45" s="233"/>
      <c r="J45" s="233"/>
      <c r="K45" s="233"/>
      <c r="L45" s="493"/>
      <c r="M45" s="75"/>
      <c r="N45" s="75"/>
      <c r="O45" s="75"/>
      <c r="P45" s="428"/>
      <c r="Q45" s="425"/>
      <c r="R45" s="426"/>
      <c r="S45" s="419" t="str">
        <f aca="false">INDEX(PT_DIFFERENTIATION_NUM_CS,MATCH(C45,PT_DIFFERENTIATION_CS_ID,0))</f>
        <v>..</v>
      </c>
      <c r="T45" s="429" t="s">
        <v>415</v>
      </c>
      <c r="U45" s="421"/>
      <c r="V45" s="422"/>
      <c r="W45" s="422"/>
      <c r="X45" s="422"/>
      <c r="Y45" s="422"/>
      <c r="Z45" s="422"/>
      <c r="AA45" s="422"/>
      <c r="AB45" s="422"/>
      <c r="AC45" s="422"/>
      <c r="AD45" s="423" t="str">
        <f aca="false">INDEX(PT_DIFFERENTIATION_CS,MATCH(C45,PT_DIFFERENTIATION_CS_ID,0))</f>
        <v/>
      </c>
      <c r="AE45" s="423"/>
      <c r="AF45" s="423"/>
      <c r="AG45" s="423"/>
      <c r="AH45" s="423"/>
      <c r="AI45" s="423"/>
      <c r="AJ45" s="423"/>
      <c r="AK45" s="423"/>
      <c r="AL45" s="423"/>
      <c r="AM45" s="424" t="s">
        <v>416</v>
      </c>
      <c r="AO45" s="117"/>
      <c r="AP45" s="117" t="str">
        <f aca="false">IF(T45="","",T45)</f>
        <v>Наименование системы теплоснабжения</v>
      </c>
      <c r="AQ45" s="117"/>
      <c r="AR45" s="117"/>
    </row>
    <row r="46" customFormat="false" ht="21" hidden="false" customHeight="true" outlineLevel="0" collapsed="false">
      <c r="A46" s="233" t="s">
        <v>217</v>
      </c>
      <c r="B46" s="233" t="s">
        <v>218</v>
      </c>
      <c r="C46" s="233" t="s">
        <v>219</v>
      </c>
      <c r="D46" s="233" t="s">
        <v>220</v>
      </c>
      <c r="E46" s="492"/>
      <c r="F46" s="492"/>
      <c r="G46" s="492"/>
      <c r="H46" s="492" t="n">
        <v>1</v>
      </c>
      <c r="I46" s="233"/>
      <c r="J46" s="233"/>
      <c r="K46" s="233"/>
      <c r="L46" s="493"/>
      <c r="M46" s="75"/>
      <c r="N46" s="75"/>
      <c r="O46" s="75"/>
      <c r="P46" s="428"/>
      <c r="Q46" s="425"/>
      <c r="R46" s="426"/>
      <c r="S46" s="419" t="str">
        <f aca="false">INDEX(PT_DIFFERENTIATION_NUM_IST_TE,MATCH(D46,PT_DIFFERENTIATION_IST_TE_ID,0))</f>
        <v>...</v>
      </c>
      <c r="T46" s="430" t="s">
        <v>417</v>
      </c>
      <c r="U46" s="421"/>
      <c r="V46" s="422"/>
      <c r="W46" s="422"/>
      <c r="X46" s="422"/>
      <c r="Y46" s="422"/>
      <c r="Z46" s="422"/>
      <c r="AA46" s="422"/>
      <c r="AB46" s="422"/>
      <c r="AC46" s="422"/>
      <c r="AD46" s="423" t="str">
        <f aca="false">INDEX(PT_DIFFERENTIATION_IST_TE,MATCH(D46,PT_DIFFERENTIATION_IST_TE_ID,0))</f>
        <v/>
      </c>
      <c r="AE46" s="423"/>
      <c r="AF46" s="423"/>
      <c r="AG46" s="423"/>
      <c r="AH46" s="423"/>
      <c r="AI46" s="423"/>
      <c r="AJ46" s="423"/>
      <c r="AK46" s="423"/>
      <c r="AL46" s="423"/>
      <c r="AM46" s="424" t="s">
        <v>418</v>
      </c>
      <c r="AO46" s="117"/>
      <c r="AP46" s="117" t="str">
        <f aca="false">IF(T46="","",T46)</f>
        <v>Источник тепловой энергии</v>
      </c>
      <c r="AQ46" s="117"/>
      <c r="AR46" s="117"/>
    </row>
    <row r="47" customFormat="false" ht="47.25" hidden="false" customHeight="true" outlineLevel="0" collapsed="false">
      <c r="A47" s="233" t="s">
        <v>217</v>
      </c>
      <c r="B47" s="233" t="s">
        <v>218</v>
      </c>
      <c r="C47" s="233" t="s">
        <v>219</v>
      </c>
      <c r="D47" s="233" t="s">
        <v>220</v>
      </c>
      <c r="E47" s="492"/>
      <c r="F47" s="492"/>
      <c r="G47" s="492"/>
      <c r="H47" s="492"/>
      <c r="I47" s="145" t="str">
        <f aca="false">S46&amp;".1"</f>
        <v>....1</v>
      </c>
      <c r="J47" s="233"/>
      <c r="K47" s="233"/>
      <c r="L47" s="493" t="s">
        <v>419</v>
      </c>
      <c r="P47" s="120" t="n">
        <v>1</v>
      </c>
      <c r="Q47" s="120"/>
      <c r="R47" s="432"/>
      <c r="S47" s="419" t="str">
        <f aca="false">$I47</f>
        <v>....1</v>
      </c>
      <c r="T47" s="433" t="s">
        <v>420</v>
      </c>
      <c r="U47" s="421"/>
      <c r="V47" s="434"/>
      <c r="W47" s="434"/>
      <c r="X47" s="434"/>
      <c r="Y47" s="434"/>
      <c r="Z47" s="434"/>
      <c r="AA47" s="434"/>
      <c r="AB47" s="434"/>
      <c r="AC47" s="434"/>
      <c r="AD47" s="434"/>
      <c r="AE47" s="434"/>
      <c r="AF47" s="434"/>
      <c r="AG47" s="434"/>
      <c r="AH47" s="434"/>
      <c r="AI47" s="434"/>
      <c r="AJ47" s="434"/>
      <c r="AK47" s="434"/>
      <c r="AL47" s="434"/>
      <c r="AM47" s="424" t="s">
        <v>421</v>
      </c>
      <c r="AO47" s="117"/>
      <c r="AP47" s="117" t="str">
        <f aca="false">IF(T47="","",T47)</f>
        <v>Схема подключения теплопотребляющей установки к коллектору источника тепловой энергии</v>
      </c>
      <c r="AQ47" s="117"/>
      <c r="AR47" s="117"/>
    </row>
    <row r="48" customFormat="false" ht="21" hidden="false" customHeight="true" outlineLevel="0" collapsed="false">
      <c r="A48" s="233" t="s">
        <v>217</v>
      </c>
      <c r="B48" s="233" t="s">
        <v>218</v>
      </c>
      <c r="C48" s="233" t="s">
        <v>219</v>
      </c>
      <c r="D48" s="233" t="s">
        <v>220</v>
      </c>
      <c r="E48" s="492"/>
      <c r="F48" s="492"/>
      <c r="G48" s="492"/>
      <c r="H48" s="492"/>
      <c r="I48" s="145"/>
      <c r="J48" s="133" t="str">
        <f aca="false">I47&amp;".1"</f>
        <v>....1.1</v>
      </c>
      <c r="K48" s="233"/>
      <c r="L48" s="493" t="s">
        <v>422</v>
      </c>
      <c r="P48" s="120"/>
      <c r="Q48" s="120" t="n">
        <v>1</v>
      </c>
      <c r="R48" s="435"/>
      <c r="S48" s="419" t="str">
        <f aca="false">$J48</f>
        <v>....1.1</v>
      </c>
      <c r="T48" s="436" t="s">
        <v>423</v>
      </c>
      <c r="U48" s="421"/>
      <c r="V48" s="434"/>
      <c r="W48" s="434"/>
      <c r="X48" s="434"/>
      <c r="Y48" s="434"/>
      <c r="Z48" s="434"/>
      <c r="AA48" s="434"/>
      <c r="AB48" s="434"/>
      <c r="AC48" s="434"/>
      <c r="AD48" s="434"/>
      <c r="AE48" s="434"/>
      <c r="AF48" s="434"/>
      <c r="AG48" s="434"/>
      <c r="AH48" s="434"/>
      <c r="AI48" s="434"/>
      <c r="AJ48" s="434"/>
      <c r="AK48" s="434"/>
      <c r="AL48" s="434"/>
      <c r="AM48" s="424" t="s">
        <v>424</v>
      </c>
      <c r="AO48" s="117"/>
      <c r="AP48" s="117" t="str">
        <f aca="false">IF(T48="","",T48)</f>
        <v>Группа потребителей</v>
      </c>
      <c r="AQ48" s="117"/>
      <c r="AR48" s="117"/>
    </row>
    <row r="49" customFormat="false" ht="21" hidden="false" customHeight="true" outlineLevel="0" collapsed="false">
      <c r="A49" s="233" t="s">
        <v>217</v>
      </c>
      <c r="B49" s="233" t="s">
        <v>218</v>
      </c>
      <c r="C49" s="233" t="s">
        <v>219</v>
      </c>
      <c r="D49" s="233" t="s">
        <v>220</v>
      </c>
      <c r="E49" s="492"/>
      <c r="F49" s="492"/>
      <c r="G49" s="492"/>
      <c r="H49" s="492"/>
      <c r="I49" s="145"/>
      <c r="J49" s="145"/>
      <c r="K49" s="133" t="str">
        <f aca="false">J48&amp;".1"</f>
        <v>....1.1.1</v>
      </c>
      <c r="L49" s="493" t="s">
        <v>425</v>
      </c>
      <c r="P49" s="120"/>
      <c r="Q49" s="120"/>
      <c r="R49" s="435" t="n">
        <v>1</v>
      </c>
      <c r="S49" s="419" t="str">
        <f aca="false">$K49</f>
        <v>....1.1.1</v>
      </c>
      <c r="T49" s="437"/>
      <c r="U49" s="421"/>
      <c r="V49" s="438"/>
      <c r="W49" s="439"/>
      <c r="X49" s="438"/>
      <c r="Y49" s="440"/>
      <c r="Z49" s="441"/>
      <c r="AA49" s="203" t="s">
        <v>63</v>
      </c>
      <c r="AB49" s="441"/>
      <c r="AC49" s="203" t="s">
        <v>63</v>
      </c>
      <c r="AD49" s="438"/>
      <c r="AE49" s="439"/>
      <c r="AF49" s="438"/>
      <c r="AG49" s="440"/>
      <c r="AH49" s="441"/>
      <c r="AI49" s="203" t="s">
        <v>63</v>
      </c>
      <c r="AJ49" s="441"/>
      <c r="AK49" s="203" t="s">
        <v>63</v>
      </c>
      <c r="AL49" s="489"/>
      <c r="AM49" s="442" t="s">
        <v>426</v>
      </c>
      <c r="AN49" s="47" t="e">
        <f aca="false">strcheckdate(V50:AL50)</f>
        <v>#NAME?</v>
      </c>
      <c r="AO49" s="117"/>
      <c r="AP49" s="117" t="str">
        <f aca="false">IF(T49="","",T49)</f>
        <v/>
      </c>
      <c r="AQ49" s="117"/>
      <c r="AR49" s="117"/>
    </row>
    <row r="50" customFormat="false" ht="0.75" hidden="false" customHeight="true" outlineLevel="0" collapsed="false">
      <c r="A50" s="233" t="s">
        <v>217</v>
      </c>
      <c r="B50" s="233" t="s">
        <v>218</v>
      </c>
      <c r="C50" s="233" t="s">
        <v>219</v>
      </c>
      <c r="D50" s="233" t="s">
        <v>220</v>
      </c>
      <c r="E50" s="492"/>
      <c r="F50" s="492"/>
      <c r="G50" s="492"/>
      <c r="H50" s="492"/>
      <c r="I50" s="145"/>
      <c r="J50" s="145"/>
      <c r="K50" s="133"/>
      <c r="L50" s="493"/>
      <c r="P50" s="120"/>
      <c r="Q50" s="120"/>
      <c r="R50" s="435"/>
      <c r="S50" s="396"/>
      <c r="T50" s="421"/>
      <c r="U50" s="421"/>
      <c r="V50" s="439"/>
      <c r="W50" s="439"/>
      <c r="X50" s="439"/>
      <c r="Y50" s="443" t="str">
        <f aca="false">Z49&amp;"-"&amp;AB49</f>
        <v>-</v>
      </c>
      <c r="Z50" s="441"/>
      <c r="AA50" s="203"/>
      <c r="AB50" s="441"/>
      <c r="AC50" s="203"/>
      <c r="AD50" s="439"/>
      <c r="AE50" s="439"/>
      <c r="AF50" s="439"/>
      <c r="AG50" s="443" t="str">
        <f aca="false">AH49&amp;"-"&amp;AJ49</f>
        <v>-</v>
      </c>
      <c r="AH50" s="441"/>
      <c r="AI50" s="203"/>
      <c r="AJ50" s="441"/>
      <c r="AK50" s="203"/>
      <c r="AL50" s="490"/>
      <c r="AM50" s="442"/>
      <c r="AO50" s="117"/>
      <c r="AP50" s="117" t="str">
        <f aca="false">IF(T50="","",T50)</f>
        <v/>
      </c>
      <c r="AQ50" s="117"/>
      <c r="AR50" s="117"/>
    </row>
    <row r="51" customFormat="false" ht="11.25" hidden="false" customHeight="true" outlineLevel="0" collapsed="false">
      <c r="A51" s="233" t="s">
        <v>217</v>
      </c>
      <c r="B51" s="233" t="s">
        <v>218</v>
      </c>
      <c r="C51" s="233" t="s">
        <v>219</v>
      </c>
      <c r="D51" s="233" t="s">
        <v>220</v>
      </c>
      <c r="E51" s="492"/>
      <c r="F51" s="492"/>
      <c r="G51" s="492"/>
      <c r="H51" s="492"/>
      <c r="I51" s="145"/>
      <c r="J51" s="133"/>
      <c r="K51" s="233"/>
      <c r="L51" s="493"/>
      <c r="P51" s="120"/>
      <c r="Q51" s="120"/>
      <c r="R51" s="432"/>
      <c r="S51" s="444"/>
      <c r="T51" s="445" t="s">
        <v>427</v>
      </c>
      <c r="U51" s="193"/>
      <c r="V51" s="193"/>
      <c r="W51" s="193"/>
      <c r="X51" s="193"/>
      <c r="Y51" s="193"/>
      <c r="Z51" s="193"/>
      <c r="AA51" s="193"/>
      <c r="AB51" s="193"/>
      <c r="AC51" s="193"/>
      <c r="AD51" s="193"/>
      <c r="AE51" s="193"/>
      <c r="AF51" s="193"/>
      <c r="AG51" s="193"/>
      <c r="AH51" s="193"/>
      <c r="AI51" s="193"/>
      <c r="AJ51" s="193"/>
      <c r="AK51" s="193"/>
      <c r="AL51" s="446"/>
      <c r="AM51" s="442"/>
      <c r="AO51" s="117"/>
      <c r="AP51" s="117" t="str">
        <f aca="false">IF(T51="","",T51)</f>
        <v>Добавить вид теплоносителя (параметры теплоносителя)</v>
      </c>
      <c r="AQ51" s="117"/>
      <c r="AR51" s="117"/>
    </row>
    <row r="52" customFormat="false" ht="11.25" hidden="false" customHeight="true" outlineLevel="0" collapsed="false">
      <c r="A52" s="233" t="s">
        <v>217</v>
      </c>
      <c r="B52" s="233" t="s">
        <v>218</v>
      </c>
      <c r="C52" s="233" t="s">
        <v>219</v>
      </c>
      <c r="D52" s="233" t="s">
        <v>220</v>
      </c>
      <c r="E52" s="492"/>
      <c r="F52" s="492"/>
      <c r="G52" s="492"/>
      <c r="H52" s="492"/>
      <c r="I52" s="145"/>
      <c r="J52" s="233"/>
      <c r="K52" s="233"/>
      <c r="L52" s="493"/>
      <c r="P52" s="120"/>
      <c r="Q52" s="120"/>
      <c r="R52" s="432"/>
      <c r="S52" s="444"/>
      <c r="T52" s="447" t="s">
        <v>428</v>
      </c>
      <c r="U52" s="193"/>
      <c r="V52" s="193"/>
      <c r="W52" s="193"/>
      <c r="X52" s="193"/>
      <c r="Y52" s="193"/>
      <c r="Z52" s="193"/>
      <c r="AA52" s="193"/>
      <c r="AB52" s="193"/>
      <c r="AC52" s="448"/>
      <c r="AD52" s="193"/>
      <c r="AE52" s="193"/>
      <c r="AF52" s="193"/>
      <c r="AG52" s="193"/>
      <c r="AH52" s="193"/>
      <c r="AI52" s="193"/>
      <c r="AJ52" s="193"/>
      <c r="AK52" s="448"/>
      <c r="AL52" s="193"/>
      <c r="AM52" s="449"/>
      <c r="AO52" s="117"/>
      <c r="AP52" s="117" t="str">
        <f aca="false">IF(T52="","",T52)</f>
        <v>Добавить группу потребителей</v>
      </c>
      <c r="AQ52" s="117"/>
      <c r="AR52" s="117"/>
    </row>
    <row r="53" customFormat="false" ht="14.25" hidden="false" customHeight="true" outlineLevel="0" collapsed="false">
      <c r="A53" s="233" t="s">
        <v>217</v>
      </c>
      <c r="B53" s="233" t="s">
        <v>218</v>
      </c>
      <c r="C53" s="233" t="s">
        <v>219</v>
      </c>
      <c r="D53" s="233" t="s">
        <v>220</v>
      </c>
      <c r="E53" s="492"/>
      <c r="F53" s="492"/>
      <c r="G53" s="492"/>
      <c r="H53" s="492"/>
      <c r="I53" s="233"/>
      <c r="J53" s="233"/>
      <c r="K53" s="233"/>
      <c r="L53" s="493"/>
      <c r="M53" s="75"/>
      <c r="N53" s="75"/>
      <c r="O53" s="42"/>
      <c r="P53" s="131"/>
      <c r="Q53" s="450"/>
      <c r="R53" s="418"/>
      <c r="S53" s="444"/>
      <c r="T53" s="451" t="s">
        <v>429</v>
      </c>
      <c r="U53" s="193"/>
      <c r="V53" s="193"/>
      <c r="W53" s="193"/>
      <c r="X53" s="193"/>
      <c r="Y53" s="193"/>
      <c r="Z53" s="193"/>
      <c r="AA53" s="193"/>
      <c r="AB53" s="193"/>
      <c r="AC53" s="448"/>
      <c r="AD53" s="193"/>
      <c r="AE53" s="193"/>
      <c r="AF53" s="193"/>
      <c r="AG53" s="193"/>
      <c r="AH53" s="193"/>
      <c r="AI53" s="193"/>
      <c r="AJ53" s="193"/>
      <c r="AK53" s="448"/>
      <c r="AL53" s="193"/>
      <c r="AM53" s="449"/>
      <c r="AO53" s="117"/>
      <c r="AP53" s="117" t="str">
        <f aca="false">IF(T53="","",T53)</f>
        <v>Добавить схему подключения</v>
      </c>
      <c r="AQ53" s="117"/>
      <c r="AR53" s="117"/>
    </row>
    <row r="54" s="47" customFormat="true" ht="0.75" hidden="false" customHeight="true" outlineLevel="0" collapsed="false">
      <c r="A54" s="494" t="s">
        <v>217</v>
      </c>
      <c r="B54" s="494" t="s">
        <v>218</v>
      </c>
      <c r="C54" s="494" t="s">
        <v>219</v>
      </c>
      <c r="D54" s="494"/>
      <c r="E54" s="492"/>
      <c r="F54" s="492"/>
      <c r="G54" s="492"/>
      <c r="H54" s="494"/>
      <c r="I54" s="494"/>
      <c r="J54" s="494"/>
      <c r="K54" s="494"/>
      <c r="L54" s="495"/>
      <c r="M54" s="496"/>
      <c r="N54" s="496"/>
      <c r="O54" s="119"/>
      <c r="P54" s="155"/>
      <c r="Q54" s="452"/>
      <c r="R54" s="155"/>
      <c r="S54" s="457"/>
      <c r="T54" s="460" t="s">
        <v>430</v>
      </c>
      <c r="U54" s="459"/>
      <c r="V54" s="459"/>
      <c r="W54" s="459"/>
      <c r="X54" s="459"/>
      <c r="Y54" s="459"/>
      <c r="Z54" s="459"/>
      <c r="AA54" s="459"/>
      <c r="AB54" s="459"/>
      <c r="AC54" s="459"/>
      <c r="AD54" s="459"/>
      <c r="AE54" s="459"/>
      <c r="AF54" s="459"/>
      <c r="AG54" s="459"/>
      <c r="AH54" s="459"/>
      <c r="AI54" s="459"/>
      <c r="AJ54" s="459"/>
      <c r="AK54" s="459"/>
      <c r="AL54" s="459"/>
      <c r="AM54" s="459"/>
      <c r="AO54" s="117"/>
      <c r="AP54" s="117" t="str">
        <f aca="false">IF(T54="","",T54)</f>
        <v>Добавить источник для дифференциации</v>
      </c>
      <c r="AQ54" s="117"/>
      <c r="AR54" s="117"/>
    </row>
    <row r="55" s="47" customFormat="true" ht="0.75" hidden="false" customHeight="true" outlineLevel="0" collapsed="false">
      <c r="A55" s="494" t="s">
        <v>217</v>
      </c>
      <c r="B55" s="494" t="s">
        <v>218</v>
      </c>
      <c r="C55" s="494"/>
      <c r="D55" s="494"/>
      <c r="E55" s="492"/>
      <c r="F55" s="492"/>
      <c r="G55" s="494"/>
      <c r="H55" s="494"/>
      <c r="I55" s="494"/>
      <c r="J55" s="494"/>
      <c r="K55" s="494"/>
      <c r="L55" s="495"/>
      <c r="M55" s="497"/>
      <c r="N55" s="497"/>
      <c r="O55" s="119"/>
      <c r="P55" s="155"/>
      <c r="Q55" s="452"/>
      <c r="R55" s="155"/>
      <c r="S55" s="457"/>
      <c r="T55" s="460" t="s">
        <v>261</v>
      </c>
      <c r="U55" s="459"/>
      <c r="V55" s="459"/>
      <c r="W55" s="459"/>
      <c r="X55" s="459"/>
      <c r="Y55" s="459"/>
      <c r="Z55" s="459"/>
      <c r="AA55" s="459"/>
      <c r="AB55" s="459"/>
      <c r="AC55" s="459"/>
      <c r="AD55" s="459"/>
      <c r="AE55" s="459"/>
      <c r="AF55" s="459"/>
      <c r="AG55" s="459"/>
      <c r="AH55" s="459"/>
      <c r="AI55" s="459"/>
      <c r="AJ55" s="459"/>
      <c r="AK55" s="459"/>
      <c r="AL55" s="459"/>
      <c r="AM55" s="459"/>
      <c r="AO55" s="117"/>
      <c r="AP55" s="117" t="str">
        <f aca="false">IF(T55="","",T55)</f>
        <v>Добавить централизованную систему для дифференциации</v>
      </c>
      <c r="AQ55" s="117"/>
      <c r="AR55" s="117"/>
    </row>
    <row r="56" s="47" customFormat="true" ht="0.75" hidden="false" customHeight="true" outlineLevel="0" collapsed="false">
      <c r="A56" s="494" t="s">
        <v>217</v>
      </c>
      <c r="B56" s="494"/>
      <c r="C56" s="494"/>
      <c r="D56" s="494"/>
      <c r="E56" s="492"/>
      <c r="F56" s="494"/>
      <c r="G56" s="494"/>
      <c r="H56" s="494"/>
      <c r="I56" s="494"/>
      <c r="J56" s="494"/>
      <c r="K56" s="494"/>
      <c r="L56" s="495"/>
      <c r="M56" s="497"/>
      <c r="N56" s="497"/>
      <c r="O56" s="119"/>
      <c r="P56" s="155"/>
      <c r="Q56" s="452"/>
      <c r="R56" s="155"/>
      <c r="S56" s="457"/>
      <c r="T56" s="460" t="s">
        <v>268</v>
      </c>
      <c r="U56" s="459"/>
      <c r="V56" s="459"/>
      <c r="W56" s="459"/>
      <c r="X56" s="459"/>
      <c r="Y56" s="459"/>
      <c r="Z56" s="459"/>
      <c r="AA56" s="459"/>
      <c r="AB56" s="459"/>
      <c r="AC56" s="459"/>
      <c r="AD56" s="459"/>
      <c r="AE56" s="459"/>
      <c r="AF56" s="459"/>
      <c r="AG56" s="459"/>
      <c r="AH56" s="459"/>
      <c r="AI56" s="459"/>
      <c r="AJ56" s="459"/>
      <c r="AK56" s="459"/>
      <c r="AL56" s="459"/>
      <c r="AM56" s="459"/>
      <c r="AO56" s="117"/>
      <c r="AP56" s="117" t="str">
        <f aca="false">IF(T56="","",T56)</f>
        <v>Добавить территорию для дифференциации</v>
      </c>
      <c r="AQ56" s="117"/>
      <c r="AR56" s="117"/>
    </row>
    <row r="57" s="47" customFormat="true" ht="0.75" hidden="false" customHeight="true" outlineLevel="0" collapsed="false">
      <c r="A57" s="494"/>
      <c r="B57" s="494"/>
      <c r="C57" s="494"/>
      <c r="D57" s="494"/>
      <c r="E57" s="494"/>
      <c r="F57" s="494"/>
      <c r="G57" s="494"/>
      <c r="H57" s="494"/>
      <c r="I57" s="494"/>
      <c r="J57" s="494"/>
      <c r="K57" s="494"/>
      <c r="L57" s="495"/>
      <c r="M57" s="497"/>
      <c r="N57" s="497"/>
      <c r="O57" s="119"/>
      <c r="P57" s="155"/>
      <c r="Q57" s="452"/>
      <c r="R57" s="155"/>
      <c r="S57" s="457"/>
      <c r="T57" s="460" t="s">
        <v>269</v>
      </c>
      <c r="U57" s="459"/>
      <c r="V57" s="459"/>
      <c r="W57" s="459"/>
      <c r="X57" s="459"/>
      <c r="Y57" s="459"/>
      <c r="Z57" s="459"/>
      <c r="AA57" s="459"/>
      <c r="AB57" s="459"/>
      <c r="AC57" s="459"/>
      <c r="AD57" s="459"/>
      <c r="AE57" s="459"/>
      <c r="AF57" s="459"/>
      <c r="AG57" s="459"/>
      <c r="AH57" s="459"/>
      <c r="AI57" s="459"/>
      <c r="AJ57" s="459"/>
      <c r="AK57" s="459"/>
      <c r="AL57" s="459"/>
      <c r="AM57" s="459"/>
      <c r="AO57" s="117"/>
      <c r="AP57" s="117" t="str">
        <f aca="false">IF(T57="","",T57)</f>
        <v>Добавить наименование тарифа</v>
      </c>
      <c r="AQ57" s="117"/>
      <c r="AR57" s="117"/>
    </row>
    <row r="58" customFormat="false" ht="11.25" hidden="false" customHeight="true" outlineLevel="0" collapsed="false">
      <c r="M58" s="42"/>
      <c r="N58" s="42"/>
      <c r="O58" s="42"/>
      <c r="P58" s="42"/>
      <c r="Q58" s="42"/>
      <c r="R58" s="42"/>
      <c r="S58" s="42"/>
      <c r="AN58" s="42"/>
      <c r="AO58" s="42"/>
      <c r="AP58" s="42"/>
      <c r="AQ58" s="42"/>
      <c r="AR58" s="42"/>
    </row>
    <row r="59" customFormat="false" ht="27" hidden="false" customHeight="true" outlineLevel="0" collapsed="false">
      <c r="O59" s="42"/>
      <c r="S59" s="412"/>
      <c r="T59" s="491"/>
      <c r="U59" s="491"/>
      <c r="V59" s="491"/>
      <c r="W59" s="491"/>
      <c r="X59" s="491"/>
      <c r="Y59" s="491"/>
      <c r="Z59" s="491"/>
      <c r="AA59" s="491"/>
      <c r="AB59" s="491"/>
      <c r="AC59" s="491"/>
      <c r="AD59" s="491"/>
      <c r="AE59" s="491"/>
      <c r="AF59" s="491"/>
      <c r="AG59" s="491"/>
      <c r="AH59" s="491"/>
      <c r="AI59" s="491"/>
      <c r="AJ59" s="491"/>
      <c r="AK59" s="491"/>
      <c r="AL59" s="491"/>
      <c r="AM59" s="491"/>
    </row>
    <row r="60" customFormat="false" ht="62.25" hidden="false" customHeight="true" outlineLevel="0" collapsed="false">
      <c r="O60" s="42"/>
      <c r="T60" s="491"/>
      <c r="U60" s="491"/>
      <c r="V60" s="491"/>
      <c r="W60" s="491"/>
      <c r="X60" s="491"/>
      <c r="Y60" s="491"/>
      <c r="Z60" s="491"/>
      <c r="AA60" s="491"/>
      <c r="AB60" s="491"/>
      <c r="AC60" s="491"/>
      <c r="AD60" s="491"/>
      <c r="AE60" s="491"/>
      <c r="AF60" s="491"/>
      <c r="AG60" s="491"/>
      <c r="AH60" s="491"/>
      <c r="AI60" s="491"/>
      <c r="AJ60" s="491"/>
      <c r="AK60" s="491"/>
      <c r="AL60" s="491"/>
      <c r="AM60" s="491"/>
    </row>
    <row r="61" customFormat="false" ht="14.25" hidden="false" customHeight="true" outlineLevel="0" collapsed="false">
      <c r="O61" s="42"/>
    </row>
    <row r="62" customFormat="false" ht="18" hidden="false" customHeight="true" outlineLevel="0" collapsed="false">
      <c r="O62" s="42"/>
      <c r="S62" s="412"/>
      <c r="T62" s="491"/>
      <c r="U62" s="491"/>
      <c r="V62" s="491"/>
      <c r="W62" s="491"/>
      <c r="X62" s="491"/>
      <c r="Y62" s="491"/>
      <c r="Z62" s="491"/>
      <c r="AA62" s="491"/>
      <c r="AB62" s="491"/>
      <c r="AC62" s="491"/>
      <c r="AD62" s="491"/>
      <c r="AE62" s="491"/>
      <c r="AF62" s="491"/>
      <c r="AG62" s="491"/>
      <c r="AH62" s="491"/>
      <c r="AI62" s="491"/>
      <c r="AJ62" s="491"/>
      <c r="AK62" s="491"/>
      <c r="AL62" s="491"/>
      <c r="AM62" s="491"/>
    </row>
    <row r="63" customFormat="false" ht="18" hidden="false" customHeight="true" outlineLevel="0" collapsed="false">
      <c r="O63" s="42"/>
      <c r="T63" s="491"/>
      <c r="U63" s="491"/>
      <c r="V63" s="491"/>
      <c r="W63" s="491"/>
      <c r="X63" s="491"/>
      <c r="Y63" s="491"/>
      <c r="Z63" s="491"/>
      <c r="AA63" s="491"/>
      <c r="AB63" s="491"/>
      <c r="AC63" s="491"/>
      <c r="AD63" s="491"/>
      <c r="AE63" s="491"/>
      <c r="AF63" s="491"/>
      <c r="AG63" s="491"/>
      <c r="AH63" s="491"/>
      <c r="AI63" s="491"/>
      <c r="AJ63" s="491"/>
      <c r="AK63" s="491"/>
      <c r="AL63" s="491"/>
      <c r="AM63" s="491"/>
    </row>
    <row r="64" customFormat="false" ht="27.75" hidden="false" customHeight="true" outlineLevel="0" collapsed="false">
      <c r="O64" s="42"/>
      <c r="S64" s="412"/>
      <c r="T64" s="491"/>
      <c r="U64" s="491"/>
      <c r="V64" s="491"/>
      <c r="W64" s="491"/>
      <c r="X64" s="491"/>
      <c r="Y64" s="491"/>
      <c r="Z64" s="491"/>
      <c r="AA64" s="491"/>
      <c r="AB64" s="491"/>
      <c r="AC64" s="491"/>
      <c r="AD64" s="491"/>
      <c r="AE64" s="491"/>
      <c r="AF64" s="491"/>
      <c r="AG64" s="491"/>
      <c r="AH64" s="491"/>
      <c r="AI64" s="491"/>
      <c r="AJ64" s="491"/>
      <c r="AK64" s="491"/>
      <c r="AL64" s="491"/>
      <c r="AM64" s="491"/>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5"/>
    <col collapsed="false" customWidth="true" hidden="true" outlineLevel="0" max="5" min="5" style="42" width="10"/>
    <col collapsed="false" customWidth="true" hidden="true" outlineLevel="0" max="6" min="6" style="42" width="8.71"/>
    <col collapsed="false" customWidth="true" hidden="true" outlineLevel="0" max="7" min="7" style="42" width="7.57"/>
    <col collapsed="false" customWidth="true" hidden="true" outlineLevel="0" max="8" min="8" style="42" width="11.42"/>
    <col collapsed="false" customWidth="true" hidden="true" outlineLevel="0" max="9" min="9" style="42" width="12"/>
    <col collapsed="false" customWidth="true" hidden="true" outlineLevel="0" max="10" min="10" style="42" width="9.85"/>
    <col collapsed="false" customWidth="true" hidden="true" outlineLevel="0" max="11" min="11" style="42" width="11.42"/>
    <col collapsed="false" customWidth="true" hidden="true" outlineLevel="0" max="12" min="12" style="43" width="19.14"/>
    <col collapsed="false" customWidth="true" hidden="true" outlineLevel="0" max="14" min="13" style="50" width="12.28"/>
    <col collapsed="false" customWidth="true" hidden="true" outlineLevel="0" max="15" min="15" style="50" width="23.42"/>
    <col collapsed="false" customWidth="true" hidden="false" outlineLevel="0" max="16" min="16" style="50" width="3.71"/>
    <col collapsed="false" customWidth="true" hidden="false" outlineLevel="0" max="18" min="17" style="414" width="3.71"/>
    <col collapsed="false" customWidth="true" hidden="false" outlineLevel="0" max="19" min="19" style="75" width="12.71"/>
    <col collapsed="false" customWidth="true" hidden="false" outlineLevel="0" max="20" min="20" style="42" width="32"/>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7" width="10.57"/>
    <col collapsed="false" customWidth="true" hidden="false" outlineLevel="0" max="42" min="42" style="47" width="11.14"/>
    <col collapsed="false" customWidth="false" hidden="false" outlineLevel="0" max="44" min="43" style="47" width="10.57"/>
  </cols>
  <sheetData>
    <row r="1" customFormat="false" ht="14.25" hidden="true" customHeight="true" outlineLevel="0" collapsed="false"/>
    <row r="2" customFormat="false" ht="21" hidden="true" customHeight="true" outlineLevel="0" collapsed="false">
      <c r="A2" s="233"/>
      <c r="B2" s="233"/>
      <c r="C2" s="233"/>
      <c r="D2" s="233"/>
      <c r="E2" s="492" t="n">
        <v>1</v>
      </c>
      <c r="F2" s="233"/>
      <c r="G2" s="233"/>
      <c r="H2" s="233"/>
      <c r="I2" s="233"/>
      <c r="J2" s="233"/>
      <c r="K2" s="233"/>
      <c r="L2" s="493"/>
      <c r="M2" s="75"/>
      <c r="N2" s="75"/>
      <c r="O2" s="75"/>
      <c r="Q2" s="131"/>
      <c r="R2" s="418"/>
      <c r="S2" s="419" t="e">
        <f aca="false">INDEX(PT_DIFFERENTIATION_NUM_NTAR,MATCH(A2,PT_DIFFERENTIATION_NTAR_ID,0))</f>
        <v>#N/A</v>
      </c>
      <c r="T2" s="420" t="s">
        <v>130</v>
      </c>
      <c r="U2" s="421"/>
      <c r="V2" s="422"/>
      <c r="W2" s="422"/>
      <c r="X2" s="422"/>
      <c r="Y2" s="422"/>
      <c r="Z2" s="422"/>
      <c r="AA2" s="422"/>
      <c r="AB2" s="422"/>
      <c r="AC2" s="422"/>
      <c r="AD2" s="423" t="e">
        <f aca="false">INDEX(PT_DIFFERENTIATION_NTAR,MATCH(A2,PT_DIFFERENTIATION_NTAR_ID,0))</f>
        <v>#N/A</v>
      </c>
      <c r="AE2" s="423"/>
      <c r="AF2" s="423"/>
      <c r="AG2" s="423"/>
      <c r="AH2" s="423"/>
      <c r="AI2" s="423"/>
      <c r="AJ2" s="423"/>
      <c r="AK2" s="423"/>
      <c r="AL2" s="423"/>
      <c r="AM2" s="424" t="s">
        <v>412</v>
      </c>
      <c r="AO2" s="117"/>
      <c r="AP2" s="117" t="str">
        <f aca="false">IF(T2="","",T2)</f>
        <v>Наименование тарифа</v>
      </c>
      <c r="AQ2" s="117"/>
      <c r="AR2" s="117"/>
    </row>
    <row r="3" customFormat="false" ht="21" hidden="true" customHeight="true" outlineLevel="0" collapsed="false">
      <c r="A3" s="233"/>
      <c r="B3" s="233"/>
      <c r="C3" s="233"/>
      <c r="D3" s="233"/>
      <c r="E3" s="492"/>
      <c r="F3" s="492" t="n">
        <v>1</v>
      </c>
      <c r="G3" s="233"/>
      <c r="H3" s="233"/>
      <c r="I3" s="233"/>
      <c r="J3" s="233"/>
      <c r="K3" s="233"/>
      <c r="L3" s="493"/>
      <c r="M3" s="75"/>
      <c r="N3" s="75"/>
      <c r="O3" s="75"/>
      <c r="P3" s="43"/>
      <c r="Q3" s="425"/>
      <c r="R3" s="426"/>
      <c r="S3" s="419" t="e">
        <f aca="false">INDEX(PT_DIFFERENTIATION_NUM_TER,MATCH(B3,PT_DIFFERENTIATION_TER_ID,0))</f>
        <v>#N/A</v>
      </c>
      <c r="T3" s="427" t="s">
        <v>413</v>
      </c>
      <c r="U3" s="421"/>
      <c r="V3" s="422"/>
      <c r="W3" s="422"/>
      <c r="X3" s="422"/>
      <c r="Y3" s="422"/>
      <c r="Z3" s="422"/>
      <c r="AA3" s="422"/>
      <c r="AB3" s="422"/>
      <c r="AC3" s="422"/>
      <c r="AD3" s="423" t="e">
        <f aca="false">INDEX(PT_DIFFERENTIATION_TER,MATCH(B3,PT_DIFFERENTIATION_TER_ID,0))</f>
        <v>#N/A</v>
      </c>
      <c r="AE3" s="423"/>
      <c r="AF3" s="423"/>
      <c r="AG3" s="423"/>
      <c r="AH3" s="423"/>
      <c r="AI3" s="423"/>
      <c r="AJ3" s="423"/>
      <c r="AK3" s="423"/>
      <c r="AL3" s="423"/>
      <c r="AM3" s="424" t="s">
        <v>414</v>
      </c>
      <c r="AO3" s="117"/>
      <c r="AP3" s="117" t="str">
        <f aca="false">IF(T3="","",T3)</f>
        <v>Территория действия тарифа</v>
      </c>
      <c r="AQ3" s="117"/>
      <c r="AR3" s="117"/>
    </row>
    <row r="4" customFormat="false" ht="23.25" hidden="true" customHeight="true" outlineLevel="0" collapsed="false">
      <c r="A4" s="233"/>
      <c r="B4" s="233"/>
      <c r="C4" s="233"/>
      <c r="D4" s="233"/>
      <c r="E4" s="492"/>
      <c r="F4" s="492"/>
      <c r="G4" s="492" t="n">
        <v>1</v>
      </c>
      <c r="H4" s="233"/>
      <c r="I4" s="233"/>
      <c r="J4" s="233"/>
      <c r="K4" s="233"/>
      <c r="L4" s="493"/>
      <c r="M4" s="75"/>
      <c r="N4" s="75"/>
      <c r="O4" s="75"/>
      <c r="P4" s="428"/>
      <c r="Q4" s="425"/>
      <c r="R4" s="426"/>
      <c r="S4" s="419" t="e">
        <f aca="false">INDEX(PT_DIFFERENTIATION_NUM_CS,MATCH(C4,PT_DIFFERENTIATION_CS_ID,0))</f>
        <v>#N/A</v>
      </c>
      <c r="T4" s="429" t="s">
        <v>415</v>
      </c>
      <c r="U4" s="421"/>
      <c r="V4" s="422"/>
      <c r="W4" s="422"/>
      <c r="X4" s="422"/>
      <c r="Y4" s="422"/>
      <c r="Z4" s="422"/>
      <c r="AA4" s="422"/>
      <c r="AB4" s="422"/>
      <c r="AC4" s="422"/>
      <c r="AD4" s="423" t="e">
        <f aca="false">INDEX(PT_DIFFERENTIATION_CS,MATCH(C4,PT_DIFFERENTIATION_CS_ID,0))</f>
        <v>#N/A</v>
      </c>
      <c r="AE4" s="423"/>
      <c r="AF4" s="423"/>
      <c r="AG4" s="423"/>
      <c r="AH4" s="423"/>
      <c r="AI4" s="423"/>
      <c r="AJ4" s="423"/>
      <c r="AK4" s="423"/>
      <c r="AL4" s="423"/>
      <c r="AM4" s="424" t="s">
        <v>416</v>
      </c>
      <c r="AO4" s="117"/>
      <c r="AP4" s="117" t="str">
        <f aca="false">IF(T4="","",T4)</f>
        <v>Наименование системы теплоснабжения</v>
      </c>
      <c r="AQ4" s="117"/>
      <c r="AR4" s="117"/>
    </row>
    <row r="5" customFormat="false" ht="21" hidden="true" customHeight="true" outlineLevel="0" collapsed="false">
      <c r="A5" s="233"/>
      <c r="B5" s="233"/>
      <c r="C5" s="233"/>
      <c r="D5" s="233"/>
      <c r="E5" s="492"/>
      <c r="F5" s="492"/>
      <c r="G5" s="492"/>
      <c r="H5" s="492" t="n">
        <v>1</v>
      </c>
      <c r="I5" s="233"/>
      <c r="J5" s="233"/>
      <c r="K5" s="233"/>
      <c r="L5" s="493"/>
      <c r="M5" s="75"/>
      <c r="N5" s="75"/>
      <c r="O5" s="75"/>
      <c r="P5" s="428"/>
      <c r="Q5" s="425"/>
      <c r="R5" s="426"/>
      <c r="S5" s="419" t="e">
        <f aca="false">INDEX(PT_DIFFERENTIATION_NUM_IST_TE,MATCH(D5,PT_DIFFERENTIATION_IST_TE_ID,0))</f>
        <v>#N/A</v>
      </c>
      <c r="T5" s="430" t="s">
        <v>417</v>
      </c>
      <c r="U5" s="421"/>
      <c r="V5" s="422"/>
      <c r="W5" s="422"/>
      <c r="X5" s="422"/>
      <c r="Y5" s="422"/>
      <c r="Z5" s="422"/>
      <c r="AA5" s="422"/>
      <c r="AB5" s="422"/>
      <c r="AC5" s="422"/>
      <c r="AD5" s="423" t="e">
        <f aca="false">INDEX(PT_DIFFERENTIATION_IST_TE,MATCH(D5,PT_DIFFERENTIATION_IST_TE_ID,0))</f>
        <v>#N/A</v>
      </c>
      <c r="AE5" s="423"/>
      <c r="AF5" s="423"/>
      <c r="AG5" s="423"/>
      <c r="AH5" s="423"/>
      <c r="AI5" s="423"/>
      <c r="AJ5" s="423"/>
      <c r="AK5" s="423"/>
      <c r="AL5" s="423"/>
      <c r="AM5" s="424" t="s">
        <v>418</v>
      </c>
      <c r="AO5" s="117"/>
      <c r="AP5" s="117" t="str">
        <f aca="false">IF(T5="","",T5)</f>
        <v>Источник тепловой энергии</v>
      </c>
      <c r="AQ5" s="117"/>
      <c r="AR5" s="117"/>
    </row>
    <row r="6" customFormat="false" ht="47.25" hidden="true" customHeight="true" outlineLevel="0" collapsed="false">
      <c r="A6" s="233"/>
      <c r="B6" s="233"/>
      <c r="C6" s="233"/>
      <c r="D6" s="233"/>
      <c r="E6" s="492"/>
      <c r="F6" s="492"/>
      <c r="G6" s="492"/>
      <c r="H6" s="492"/>
      <c r="I6" s="145" t="e">
        <f aca="false">S5&amp;".1"</f>
        <v>#N/A</v>
      </c>
      <c r="J6" s="233"/>
      <c r="K6" s="233"/>
      <c r="L6" s="493" t="s">
        <v>419</v>
      </c>
      <c r="M6" s="42"/>
      <c r="P6" s="120" t="n">
        <v>1</v>
      </c>
      <c r="Q6" s="120"/>
      <c r="R6" s="432"/>
      <c r="S6" s="419" t="e">
        <f aca="false">$I6</f>
        <v>#N/A</v>
      </c>
      <c r="T6" s="433" t="s">
        <v>420</v>
      </c>
      <c r="U6" s="421"/>
      <c r="V6" s="434"/>
      <c r="W6" s="434"/>
      <c r="X6" s="434"/>
      <c r="Y6" s="434"/>
      <c r="Z6" s="434"/>
      <c r="AA6" s="434"/>
      <c r="AB6" s="434"/>
      <c r="AC6" s="434"/>
      <c r="AD6" s="434"/>
      <c r="AE6" s="434"/>
      <c r="AF6" s="434"/>
      <c r="AG6" s="434"/>
      <c r="AH6" s="434"/>
      <c r="AI6" s="434"/>
      <c r="AJ6" s="434"/>
      <c r="AK6" s="434"/>
      <c r="AL6" s="434"/>
      <c r="AM6" s="424" t="s">
        <v>421</v>
      </c>
      <c r="AO6" s="117"/>
      <c r="AP6" s="117" t="str">
        <f aca="false">IF(T6="","",T6)</f>
        <v>Схема подключения теплопотребляющей установки к коллектору источника тепловой энергии</v>
      </c>
      <c r="AQ6" s="117"/>
      <c r="AR6" s="117"/>
    </row>
    <row r="7" customFormat="false" ht="21" hidden="true" customHeight="true" outlineLevel="0" collapsed="false">
      <c r="A7" s="233"/>
      <c r="B7" s="233"/>
      <c r="C7" s="233"/>
      <c r="D7" s="233"/>
      <c r="E7" s="492"/>
      <c r="F7" s="492"/>
      <c r="G7" s="492"/>
      <c r="H7" s="492"/>
      <c r="I7" s="145"/>
      <c r="J7" s="133" t="e">
        <f aca="false">I6&amp;".1"</f>
        <v>#N/A</v>
      </c>
      <c r="K7" s="233"/>
      <c r="L7" s="493" t="s">
        <v>422</v>
      </c>
      <c r="M7" s="42"/>
      <c r="N7" s="42"/>
      <c r="P7" s="120"/>
      <c r="Q7" s="120" t="n">
        <v>1</v>
      </c>
      <c r="R7" s="435"/>
      <c r="S7" s="419" t="e">
        <f aca="false">$J7</f>
        <v>#N/A</v>
      </c>
      <c r="T7" s="436" t="s">
        <v>423</v>
      </c>
      <c r="U7" s="421"/>
      <c r="V7" s="434"/>
      <c r="W7" s="434"/>
      <c r="X7" s="434"/>
      <c r="Y7" s="434"/>
      <c r="Z7" s="434"/>
      <c r="AA7" s="434"/>
      <c r="AB7" s="434"/>
      <c r="AC7" s="434"/>
      <c r="AD7" s="434"/>
      <c r="AE7" s="434"/>
      <c r="AF7" s="434"/>
      <c r="AG7" s="434"/>
      <c r="AH7" s="434"/>
      <c r="AI7" s="434"/>
      <c r="AJ7" s="434"/>
      <c r="AK7" s="434"/>
      <c r="AL7" s="434"/>
      <c r="AM7" s="424" t="s">
        <v>424</v>
      </c>
      <c r="AO7" s="117"/>
      <c r="AP7" s="117" t="str">
        <f aca="false">IF(T7="","",T7)</f>
        <v>Группа потребителей</v>
      </c>
      <c r="AQ7" s="117"/>
      <c r="AR7" s="117"/>
    </row>
    <row r="8" customFormat="false" ht="21" hidden="true" customHeight="true" outlineLevel="0" collapsed="false">
      <c r="A8" s="233"/>
      <c r="B8" s="233"/>
      <c r="C8" s="233"/>
      <c r="D8" s="233"/>
      <c r="E8" s="492"/>
      <c r="F8" s="492"/>
      <c r="G8" s="492"/>
      <c r="H8" s="492"/>
      <c r="I8" s="145"/>
      <c r="J8" s="145"/>
      <c r="K8" s="133" t="e">
        <f aca="false">J7&amp;".1"</f>
        <v>#N/A</v>
      </c>
      <c r="L8" s="493" t="s">
        <v>425</v>
      </c>
      <c r="M8" s="42"/>
      <c r="N8" s="42"/>
      <c r="O8" s="42"/>
      <c r="P8" s="120"/>
      <c r="Q8" s="120"/>
      <c r="R8" s="435" t="n">
        <v>1</v>
      </c>
      <c r="S8" s="419" t="e">
        <f aca="false">$K8</f>
        <v>#N/A</v>
      </c>
      <c r="T8" s="437"/>
      <c r="U8" s="421"/>
      <c r="V8" s="438"/>
      <c r="W8" s="439"/>
      <c r="X8" s="438"/>
      <c r="Y8" s="440"/>
      <c r="Z8" s="441"/>
      <c r="AA8" s="203" t="s">
        <v>63</v>
      </c>
      <c r="AB8" s="441"/>
      <c r="AC8" s="203" t="s">
        <v>63</v>
      </c>
      <c r="AD8" s="438"/>
      <c r="AE8" s="439"/>
      <c r="AF8" s="438"/>
      <c r="AG8" s="440"/>
      <c r="AH8" s="441"/>
      <c r="AI8" s="203" t="s">
        <v>63</v>
      </c>
      <c r="AJ8" s="441"/>
      <c r="AK8" s="203" t="s">
        <v>63</v>
      </c>
      <c r="AL8" s="439"/>
      <c r="AM8" s="442" t="s">
        <v>426</v>
      </c>
      <c r="AN8" s="47" t="e">
        <f aca="false">strcheckdate(V9:AL9)</f>
        <v>#NAME?</v>
      </c>
      <c r="AO8" s="117"/>
      <c r="AP8" s="117" t="str">
        <f aca="false">IF(T8="","",T8)</f>
        <v/>
      </c>
      <c r="AQ8" s="117"/>
      <c r="AR8" s="117"/>
    </row>
    <row r="9" customFormat="false" ht="0.75" hidden="true" customHeight="true" outlineLevel="0" collapsed="false">
      <c r="A9" s="233"/>
      <c r="B9" s="233"/>
      <c r="C9" s="233"/>
      <c r="D9" s="233"/>
      <c r="E9" s="492"/>
      <c r="F9" s="492"/>
      <c r="G9" s="492"/>
      <c r="H9" s="492"/>
      <c r="I9" s="145"/>
      <c r="J9" s="145"/>
      <c r="K9" s="133"/>
      <c r="L9" s="493"/>
      <c r="M9" s="42"/>
      <c r="N9" s="42"/>
      <c r="O9" s="42"/>
      <c r="P9" s="120"/>
      <c r="Q9" s="120"/>
      <c r="R9" s="435"/>
      <c r="S9" s="396"/>
      <c r="T9" s="421"/>
      <c r="U9" s="421"/>
      <c r="V9" s="439"/>
      <c r="W9" s="439"/>
      <c r="X9" s="439"/>
      <c r="Y9" s="443" t="str">
        <f aca="false">Z8&amp;"-"&amp;AB8</f>
        <v>-</v>
      </c>
      <c r="Z9" s="441"/>
      <c r="AA9" s="203"/>
      <c r="AB9" s="441"/>
      <c r="AC9" s="203"/>
      <c r="AD9" s="439"/>
      <c r="AE9" s="439"/>
      <c r="AF9" s="439"/>
      <c r="AG9" s="443" t="str">
        <f aca="false">AH8&amp;"-"&amp;AJ8</f>
        <v>-</v>
      </c>
      <c r="AH9" s="441"/>
      <c r="AI9" s="203"/>
      <c r="AJ9" s="441"/>
      <c r="AK9" s="203"/>
      <c r="AL9" s="439"/>
      <c r="AM9" s="442"/>
      <c r="AO9" s="117"/>
      <c r="AP9" s="117" t="str">
        <f aca="false">IF(T9="","",T9)</f>
        <v/>
      </c>
      <c r="AQ9" s="117"/>
      <c r="AR9" s="117"/>
    </row>
    <row r="10" customFormat="false" ht="15" hidden="true" customHeight="true" outlineLevel="0" collapsed="false">
      <c r="A10" s="233"/>
      <c r="B10" s="233"/>
      <c r="C10" s="233"/>
      <c r="D10" s="233"/>
      <c r="E10" s="492"/>
      <c r="F10" s="492"/>
      <c r="G10" s="492"/>
      <c r="H10" s="492"/>
      <c r="I10" s="145"/>
      <c r="J10" s="133"/>
      <c r="K10" s="233"/>
      <c r="L10" s="493"/>
      <c r="M10" s="42"/>
      <c r="N10" s="42"/>
      <c r="P10" s="120"/>
      <c r="Q10" s="120"/>
      <c r="R10" s="432"/>
      <c r="S10" s="444"/>
      <c r="T10" s="445" t="s">
        <v>427</v>
      </c>
      <c r="U10" s="193"/>
      <c r="V10" s="193"/>
      <c r="W10" s="193"/>
      <c r="X10" s="193"/>
      <c r="Y10" s="193"/>
      <c r="Z10" s="193"/>
      <c r="AA10" s="193"/>
      <c r="AB10" s="193"/>
      <c r="AC10" s="193"/>
      <c r="AD10" s="193"/>
      <c r="AE10" s="193"/>
      <c r="AF10" s="193"/>
      <c r="AG10" s="193"/>
      <c r="AH10" s="193"/>
      <c r="AI10" s="193"/>
      <c r="AJ10" s="193"/>
      <c r="AK10" s="193"/>
      <c r="AL10" s="446"/>
      <c r="AM10" s="442"/>
      <c r="AO10" s="117"/>
      <c r="AP10" s="117" t="str">
        <f aca="false">IF(T10="","",T10)</f>
        <v>Добавить вид теплоносителя (параметры теплоносителя)</v>
      </c>
      <c r="AQ10" s="117"/>
      <c r="AR10" s="117"/>
    </row>
    <row r="11" customFormat="false" ht="15" hidden="true" customHeight="true" outlineLevel="0" collapsed="false">
      <c r="A11" s="233"/>
      <c r="B11" s="233"/>
      <c r="C11" s="233"/>
      <c r="D11" s="233"/>
      <c r="E11" s="492"/>
      <c r="F11" s="492"/>
      <c r="G11" s="492"/>
      <c r="H11" s="492"/>
      <c r="I11" s="145"/>
      <c r="J11" s="233"/>
      <c r="K11" s="233"/>
      <c r="L11" s="493"/>
      <c r="M11" s="42"/>
      <c r="P11" s="120"/>
      <c r="Q11" s="120"/>
      <c r="R11" s="432"/>
      <c r="S11" s="444"/>
      <c r="T11" s="447" t="s">
        <v>428</v>
      </c>
      <c r="U11" s="193"/>
      <c r="V11" s="193"/>
      <c r="W11" s="193"/>
      <c r="X11" s="193"/>
      <c r="Y11" s="193"/>
      <c r="Z11" s="193"/>
      <c r="AA11" s="193"/>
      <c r="AB11" s="193"/>
      <c r="AC11" s="448"/>
      <c r="AD11" s="193"/>
      <c r="AE11" s="193"/>
      <c r="AF11" s="193"/>
      <c r="AG11" s="193"/>
      <c r="AH11" s="193"/>
      <c r="AI11" s="193"/>
      <c r="AJ11" s="193"/>
      <c r="AK11" s="448"/>
      <c r="AL11" s="193"/>
      <c r="AM11" s="449"/>
      <c r="AO11" s="117"/>
      <c r="AP11" s="117" t="str">
        <f aca="false">IF(T11="","",T11)</f>
        <v>Добавить группу потребителей</v>
      </c>
      <c r="AQ11" s="117"/>
      <c r="AR11" s="117"/>
    </row>
    <row r="12" customFormat="false" ht="14.25" hidden="true" customHeight="true" outlineLevel="0" collapsed="false">
      <c r="A12" s="233"/>
      <c r="B12" s="233"/>
      <c r="C12" s="233"/>
      <c r="D12" s="233"/>
      <c r="E12" s="492"/>
      <c r="F12" s="492"/>
      <c r="G12" s="492"/>
      <c r="H12" s="492"/>
      <c r="I12" s="233"/>
      <c r="J12" s="233"/>
      <c r="K12" s="233"/>
      <c r="L12" s="493"/>
      <c r="M12" s="75"/>
      <c r="N12" s="75"/>
      <c r="O12" s="42"/>
      <c r="P12" s="131"/>
      <c r="Q12" s="450"/>
      <c r="R12" s="418"/>
      <c r="S12" s="444"/>
      <c r="T12" s="451" t="s">
        <v>429</v>
      </c>
      <c r="U12" s="193"/>
      <c r="V12" s="193"/>
      <c r="W12" s="193"/>
      <c r="X12" s="193"/>
      <c r="Y12" s="193"/>
      <c r="Z12" s="193"/>
      <c r="AA12" s="193"/>
      <c r="AB12" s="193"/>
      <c r="AC12" s="448"/>
      <c r="AD12" s="193"/>
      <c r="AE12" s="193"/>
      <c r="AF12" s="193"/>
      <c r="AG12" s="193"/>
      <c r="AH12" s="193"/>
      <c r="AI12" s="193"/>
      <c r="AJ12" s="193"/>
      <c r="AK12" s="448"/>
      <c r="AL12" s="193"/>
      <c r="AM12" s="449"/>
      <c r="AO12" s="117"/>
      <c r="AP12" s="117" t="str">
        <f aca="false">IF(T12="","",T12)</f>
        <v>Добавить схему подключения</v>
      </c>
      <c r="AQ12" s="117"/>
      <c r="AR12" s="117"/>
    </row>
    <row r="13" s="47" customFormat="true" ht="0.75" hidden="true" customHeight="true" outlineLevel="0" collapsed="false">
      <c r="A13" s="233"/>
      <c r="B13" s="233"/>
      <c r="C13" s="233"/>
      <c r="D13" s="233"/>
      <c r="E13" s="492"/>
      <c r="F13" s="492"/>
      <c r="G13" s="492"/>
      <c r="H13" s="233"/>
      <c r="I13" s="233"/>
      <c r="J13" s="233"/>
      <c r="K13" s="233"/>
      <c r="L13" s="493"/>
      <c r="M13" s="75"/>
      <c r="N13" s="75"/>
      <c r="O13" s="42"/>
      <c r="P13" s="155"/>
      <c r="Q13" s="452"/>
      <c r="R13" s="155"/>
      <c r="S13" s="453"/>
      <c r="T13" s="454" t="s">
        <v>430</v>
      </c>
      <c r="U13" s="455"/>
      <c r="V13" s="455"/>
      <c r="W13" s="455"/>
      <c r="X13" s="455"/>
      <c r="Y13" s="455"/>
      <c r="Z13" s="455"/>
      <c r="AA13" s="455"/>
      <c r="AB13" s="455"/>
      <c r="AC13" s="455"/>
      <c r="AD13" s="455"/>
      <c r="AE13" s="455"/>
      <c r="AF13" s="455"/>
      <c r="AG13" s="455"/>
      <c r="AH13" s="455"/>
      <c r="AI13" s="455"/>
      <c r="AJ13" s="455"/>
      <c r="AK13" s="455"/>
      <c r="AL13" s="455"/>
      <c r="AM13" s="455"/>
      <c r="AO13" s="117"/>
      <c r="AP13" s="117" t="str">
        <f aca="false">IF(T13="","",T13)</f>
        <v>Добавить источник для дифференциации</v>
      </c>
      <c r="AQ13" s="117"/>
      <c r="AR13" s="117"/>
    </row>
    <row r="14" s="47" customFormat="true" ht="0.75" hidden="true" customHeight="true" outlineLevel="0" collapsed="false">
      <c r="A14" s="233"/>
      <c r="B14" s="233"/>
      <c r="C14" s="233"/>
      <c r="D14" s="233"/>
      <c r="E14" s="492"/>
      <c r="F14" s="492"/>
      <c r="G14" s="233"/>
      <c r="H14" s="233"/>
      <c r="I14" s="233"/>
      <c r="J14" s="233"/>
      <c r="K14" s="233"/>
      <c r="L14" s="493"/>
      <c r="M14" s="499"/>
      <c r="N14" s="499"/>
      <c r="O14" s="42"/>
      <c r="P14" s="155"/>
      <c r="Q14" s="452"/>
      <c r="R14" s="155"/>
      <c r="S14" s="457"/>
      <c r="T14" s="458" t="s">
        <v>261</v>
      </c>
      <c r="U14" s="459"/>
      <c r="V14" s="459"/>
      <c r="W14" s="459"/>
      <c r="X14" s="459"/>
      <c r="Y14" s="459"/>
      <c r="Z14" s="459"/>
      <c r="AA14" s="459"/>
      <c r="AB14" s="459"/>
      <c r="AC14" s="459"/>
      <c r="AD14" s="459"/>
      <c r="AE14" s="459"/>
      <c r="AF14" s="459"/>
      <c r="AG14" s="459"/>
      <c r="AH14" s="459"/>
      <c r="AI14" s="459"/>
      <c r="AJ14" s="459"/>
      <c r="AK14" s="459"/>
      <c r="AL14" s="459"/>
      <c r="AM14" s="459"/>
      <c r="AO14" s="117"/>
      <c r="AP14" s="117" t="str">
        <f aca="false">IF(T14="","",T14)</f>
        <v>Добавить централизованную систему для дифференциации</v>
      </c>
      <c r="AQ14" s="117"/>
      <c r="AR14" s="117"/>
    </row>
    <row r="15" s="47" customFormat="true" ht="0.75" hidden="true" customHeight="true" outlineLevel="0" collapsed="false">
      <c r="A15" s="233"/>
      <c r="B15" s="233"/>
      <c r="C15" s="233"/>
      <c r="D15" s="233"/>
      <c r="E15" s="492"/>
      <c r="F15" s="233"/>
      <c r="G15" s="233"/>
      <c r="H15" s="233"/>
      <c r="I15" s="233"/>
      <c r="J15" s="233"/>
      <c r="K15" s="233"/>
      <c r="L15" s="493"/>
      <c r="M15" s="499"/>
      <c r="N15" s="499"/>
      <c r="O15" s="42"/>
      <c r="P15" s="155"/>
      <c r="Q15" s="452"/>
      <c r="R15" s="155"/>
      <c r="S15" s="457"/>
      <c r="T15" s="460" t="s">
        <v>268</v>
      </c>
      <c r="U15" s="459"/>
      <c r="V15" s="459"/>
      <c r="W15" s="459"/>
      <c r="X15" s="459"/>
      <c r="Y15" s="459"/>
      <c r="Z15" s="459"/>
      <c r="AA15" s="459"/>
      <c r="AB15" s="459"/>
      <c r="AC15" s="459"/>
      <c r="AD15" s="459"/>
      <c r="AE15" s="459"/>
      <c r="AF15" s="459"/>
      <c r="AG15" s="459"/>
      <c r="AH15" s="459"/>
      <c r="AI15" s="459"/>
      <c r="AJ15" s="459"/>
      <c r="AK15" s="459"/>
      <c r="AL15" s="459"/>
      <c r="AM15" s="459"/>
      <c r="AO15" s="117"/>
      <c r="AP15" s="117" t="str">
        <f aca="false">IF(T15="","",T15)</f>
        <v>Добавить территорию для дифференциации</v>
      </c>
      <c r="AQ15" s="117"/>
      <c r="AR15" s="117"/>
    </row>
    <row r="16" customFormat="false" ht="14.25" hidden="true" customHeight="true" outlineLevel="0" collapsed="false"/>
    <row r="17" customFormat="false" ht="14.25" hidden="true" customHeight="true" outlineLevel="0" collapsed="false">
      <c r="AD17" s="461"/>
      <c r="AE17" s="461"/>
      <c r="AF17" s="461"/>
      <c r="AG17" s="462"/>
      <c r="AH17" s="463"/>
      <c r="AI17" s="464" t="s">
        <v>63</v>
      </c>
      <c r="AJ17" s="463"/>
      <c r="AK17" s="464" t="s">
        <v>63</v>
      </c>
    </row>
    <row r="18" customFormat="false" ht="14.25" hidden="true" customHeight="true" outlineLevel="0" collapsed="false">
      <c r="AD18" s="461"/>
      <c r="AE18" s="461"/>
      <c r="AF18" s="461"/>
      <c r="AG18" s="443" t="str">
        <f aca="false">AH17&amp;"-"&amp;AJ17</f>
        <v>-</v>
      </c>
      <c r="AH18" s="463"/>
      <c r="AI18" s="463"/>
      <c r="AJ18" s="463"/>
      <c r="AK18" s="463"/>
    </row>
    <row r="19" customFormat="false" ht="14.25" hidden="true" customHeight="true" outlineLevel="0" collapsed="false"/>
    <row r="20" s="45" customFormat="true" ht="14.25" hidden="true" customHeight="true" outlineLevel="0" collapsed="false">
      <c r="A20" s="42"/>
      <c r="B20" s="42"/>
      <c r="C20" s="42"/>
      <c r="D20" s="42"/>
      <c r="E20" s="42"/>
      <c r="F20" s="42"/>
      <c r="G20" s="42"/>
      <c r="H20" s="42"/>
      <c r="I20" s="42"/>
      <c r="J20" s="42"/>
      <c r="K20" s="42"/>
      <c r="L20" s="43"/>
      <c r="M20" s="50"/>
      <c r="N20" s="50"/>
      <c r="O20" s="498" t="s">
        <v>431</v>
      </c>
      <c r="P20" s="51"/>
      <c r="Q20" s="466"/>
      <c r="R20" s="466"/>
      <c r="S20" s="40"/>
      <c r="Z20" s="465"/>
      <c r="AB20" s="465"/>
      <c r="AH20" s="465"/>
      <c r="AJ20" s="465"/>
      <c r="AN20" s="47"/>
      <c r="AO20" s="47"/>
      <c r="AP20" s="47"/>
      <c r="AQ20" s="47"/>
      <c r="AR20" s="47"/>
    </row>
    <row r="21" s="45" customFormat="true" ht="14.25" hidden="true" customHeight="true" outlineLevel="0" collapsed="false">
      <c r="A21" s="42"/>
      <c r="B21" s="42"/>
      <c r="C21" s="42"/>
      <c r="D21" s="42"/>
      <c r="E21" s="42"/>
      <c r="F21" s="42"/>
      <c r="G21" s="42"/>
      <c r="H21" s="42"/>
      <c r="I21" s="42"/>
      <c r="J21" s="42"/>
      <c r="K21" s="42"/>
      <c r="L21" s="43"/>
      <c r="M21" s="50"/>
      <c r="N21" s="50"/>
      <c r="O21" s="50"/>
      <c r="P21" s="51"/>
      <c r="Q21" s="466"/>
      <c r="R21" s="466"/>
      <c r="S21" s="40"/>
      <c r="AN21" s="47"/>
      <c r="AO21" s="47"/>
      <c r="AP21" s="47"/>
      <c r="AQ21" s="47"/>
      <c r="AR21" s="47"/>
    </row>
    <row r="22" s="45" customFormat="true" ht="14.25" hidden="true" customHeight="true" outlineLevel="0" collapsed="false">
      <c r="A22" s="42"/>
      <c r="B22" s="42"/>
      <c r="C22" s="42"/>
      <c r="D22" s="42"/>
      <c r="E22" s="42"/>
      <c r="F22" s="42"/>
      <c r="G22" s="42"/>
      <c r="H22" s="42"/>
      <c r="I22" s="42"/>
      <c r="J22" s="42"/>
      <c r="K22" s="42"/>
      <c r="L22" s="43"/>
      <c r="M22" s="50"/>
      <c r="N22" s="50"/>
      <c r="O22" s="493" t="s">
        <v>432</v>
      </c>
      <c r="P22" s="51"/>
      <c r="Q22" s="466"/>
      <c r="R22" s="466"/>
      <c r="S22" s="40"/>
      <c r="T22" s="45" t="s">
        <v>433</v>
      </c>
      <c r="AA22" s="139" t="s">
        <v>434</v>
      </c>
      <c r="AC22" s="139" t="s">
        <v>435</v>
      </c>
      <c r="AD22" s="45" t="s">
        <v>433</v>
      </c>
      <c r="AI22" s="139" t="s">
        <v>436</v>
      </c>
      <c r="AK22" s="139" t="s">
        <v>435</v>
      </c>
      <c r="AN22" s="47"/>
      <c r="AO22" s="47"/>
      <c r="AP22" s="47"/>
      <c r="AQ22" s="47"/>
      <c r="AR22" s="47"/>
    </row>
    <row r="23" customFormat="false" ht="14.25" hidden="true" customHeight="true" outlineLevel="0" collapsed="false">
      <c r="O23" s="493"/>
    </row>
    <row r="24" customFormat="false" ht="14.25" hidden="true" customHeight="true" outlineLevel="0" collapsed="false">
      <c r="O24" s="493"/>
    </row>
    <row r="25" customFormat="false" ht="14.25" hidden="false" customHeight="true" outlineLevel="0" collapsed="false">
      <c r="Q25" s="467"/>
      <c r="R25" s="467"/>
      <c r="S25" s="468"/>
      <c r="T25" s="79"/>
      <c r="U25" s="79"/>
    </row>
    <row r="26" customFormat="false" ht="14.25" hidden="false" customHeight="true" outlineLevel="0" collapsed="false">
      <c r="Q26" s="467"/>
      <c r="R26" s="467"/>
      <c r="S26" s="212"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
      <c r="U26" s="212"/>
      <c r="V26" s="212"/>
      <c r="W26" s="212"/>
      <c r="X26" s="212"/>
      <c r="Y26" s="212"/>
      <c r="Z26" s="212"/>
      <c r="AA26" s="212"/>
      <c r="AB26" s="212"/>
      <c r="AC26" s="212"/>
      <c r="AD26" s="212"/>
      <c r="AE26" s="212"/>
      <c r="AF26" s="212"/>
      <c r="AG26" s="212"/>
      <c r="AH26" s="212"/>
      <c r="AI26" s="212"/>
      <c r="AJ26" s="212"/>
      <c r="AK26" s="214"/>
    </row>
    <row r="27" customFormat="false" ht="14.25" hidden="false" customHeight="true" outlineLevel="0" collapsed="false">
      <c r="Q27" s="467"/>
      <c r="R27" s="467"/>
      <c r="S27" s="265" t="str">
        <f aca="false">IF(org=0,"Не определено",org)</f>
        <v>ООО "Газпром теплоэнерго Ярославль"</v>
      </c>
      <c r="T27" s="265"/>
      <c r="U27" s="265"/>
      <c r="V27" s="265"/>
      <c r="W27" s="265"/>
      <c r="X27" s="265"/>
      <c r="Y27" s="265"/>
      <c r="Z27" s="265"/>
      <c r="AA27" s="265"/>
      <c r="AB27" s="265"/>
      <c r="AC27" s="265"/>
      <c r="AD27" s="265"/>
      <c r="AE27" s="265"/>
      <c r="AF27" s="265"/>
      <c r="AG27" s="265"/>
      <c r="AH27" s="265"/>
      <c r="AI27" s="265"/>
      <c r="AJ27" s="265"/>
      <c r="AK27" s="214"/>
    </row>
    <row r="28" customFormat="false" ht="14.25" hidden="true" customHeight="true" outlineLevel="0" collapsed="false">
      <c r="Q28" s="467"/>
      <c r="R28" s="467"/>
      <c r="S28" s="468"/>
      <c r="T28" s="79"/>
      <c r="U28" s="79"/>
      <c r="V28" s="469"/>
      <c r="W28" s="469"/>
      <c r="X28" s="469"/>
      <c r="Y28" s="469"/>
      <c r="Z28" s="469"/>
      <c r="AA28" s="469"/>
      <c r="AB28" s="469"/>
      <c r="AC28" s="469"/>
      <c r="AD28" s="469"/>
      <c r="AE28" s="469"/>
      <c r="AF28" s="469"/>
      <c r="AG28" s="469"/>
      <c r="AH28" s="469"/>
      <c r="AI28" s="469"/>
      <c r="AJ28" s="469"/>
      <c r="AK28" s="469"/>
    </row>
    <row r="29" s="174" customFormat="true" ht="25.5" hidden="true" customHeight="true" outlineLevel="0" collapsed="false">
      <c r="A29" s="95"/>
      <c r="B29" s="95"/>
      <c r="C29" s="95"/>
      <c r="D29" s="95"/>
      <c r="E29" s="95"/>
      <c r="F29" s="95"/>
      <c r="G29" s="95"/>
      <c r="H29" s="95"/>
      <c r="I29" s="95"/>
      <c r="J29" s="95"/>
      <c r="K29" s="95"/>
      <c r="L29" s="493"/>
      <c r="M29" s="95"/>
      <c r="N29" s="95"/>
      <c r="O29" s="95"/>
      <c r="S29" s="470" t="s">
        <v>37</v>
      </c>
      <c r="T29" s="470"/>
      <c r="U29" s="471"/>
      <c r="V29" s="472" t="str">
        <f aca="false">IF(TITLE_NAME_OR_PR_CHANGE="",IF(TITLE_NAME_OR_PR="","",TITLE_NAME_OR_PR),TITLE_NAME_OR_PR_CHANGE)</f>
        <v>Министерство тарифного регулирования Ярославской области</v>
      </c>
      <c r="W29" s="472"/>
      <c r="X29" s="472"/>
      <c r="Y29" s="472"/>
      <c r="Z29" s="472"/>
      <c r="AA29" s="472"/>
      <c r="AB29" s="472"/>
      <c r="AC29" s="42"/>
      <c r="AD29" s="472" t="str">
        <f aca="false">IF(TITLE_NAME_OR_PR_CHANGE="",IF(TITLE_NAME_OR_PR="","",TITLE_NAME_OR_PR),TITLE_NAME_OR_PR_CHANGE)</f>
        <v>Министерство тарифного регулирования Ярославской области</v>
      </c>
      <c r="AE29" s="472"/>
      <c r="AF29" s="472"/>
      <c r="AG29" s="472"/>
      <c r="AH29" s="472"/>
      <c r="AI29" s="472"/>
      <c r="AJ29" s="472"/>
      <c r="AK29" s="42"/>
      <c r="AL29" s="42"/>
      <c r="AM29" s="473"/>
      <c r="AN29" s="117"/>
      <c r="AO29" s="117"/>
      <c r="AP29" s="117"/>
      <c r="AQ29" s="117"/>
      <c r="AR29" s="117"/>
    </row>
    <row r="30" s="174" customFormat="true" ht="18.75" hidden="true" customHeight="true" outlineLevel="0" collapsed="false">
      <c r="A30" s="95"/>
      <c r="B30" s="95"/>
      <c r="C30" s="95"/>
      <c r="D30" s="95"/>
      <c r="E30" s="95"/>
      <c r="F30" s="95"/>
      <c r="G30" s="95"/>
      <c r="H30" s="95"/>
      <c r="I30" s="95"/>
      <c r="J30" s="95"/>
      <c r="K30" s="95"/>
      <c r="L30" s="493"/>
      <c r="M30" s="95"/>
      <c r="N30" s="95"/>
      <c r="O30" s="95"/>
      <c r="S30" s="470" t="s">
        <v>437</v>
      </c>
      <c r="T30" s="470"/>
      <c r="U30" s="471"/>
      <c r="V30" s="474" t="str">
        <f aca="false">IF(TITLE_DATE_PR_CHANGE="",IF(TITLE_DATE_PR="","",TITLE_DATE_PR),TITLE_DATE_PR_CHANGE)</f>
        <v>45279.46460648148</v>
      </c>
      <c r="W30" s="474"/>
      <c r="X30" s="474"/>
      <c r="Y30" s="474"/>
      <c r="Z30" s="474"/>
      <c r="AA30" s="474"/>
      <c r="AB30" s="474"/>
      <c r="AC30" s="42"/>
      <c r="AD30" s="474" t="str">
        <f aca="false">IF(TITLE_DATE_PR_CHANGE="",IF(TITLE_DATE_PR="","",TITLE_DATE_PR),TITLE_DATE_PR_CHANGE)</f>
        <v>45279.46460648148</v>
      </c>
      <c r="AE30" s="474"/>
      <c r="AF30" s="474"/>
      <c r="AG30" s="474"/>
      <c r="AH30" s="474"/>
      <c r="AI30" s="474"/>
      <c r="AJ30" s="474"/>
      <c r="AK30" s="42"/>
      <c r="AL30" s="42"/>
      <c r="AM30" s="473"/>
      <c r="AN30" s="117"/>
      <c r="AO30" s="117"/>
      <c r="AP30" s="117"/>
      <c r="AQ30" s="117"/>
      <c r="AR30" s="117"/>
    </row>
    <row r="31" s="174" customFormat="true" ht="18.75" hidden="true" customHeight="true" outlineLevel="0" collapsed="false">
      <c r="A31" s="95"/>
      <c r="B31" s="95"/>
      <c r="C31" s="95"/>
      <c r="D31" s="95"/>
      <c r="E31" s="95"/>
      <c r="F31" s="95"/>
      <c r="G31" s="95"/>
      <c r="H31" s="95"/>
      <c r="I31" s="95"/>
      <c r="J31" s="95"/>
      <c r="K31" s="95"/>
      <c r="L31" s="493"/>
      <c r="M31" s="95"/>
      <c r="N31" s="95"/>
      <c r="O31" s="95"/>
      <c r="S31" s="470" t="s">
        <v>438</v>
      </c>
      <c r="T31" s="470"/>
      <c r="U31" s="471"/>
      <c r="V31" s="472" t="str">
        <f aca="false">IF(TITLE_NUMBER_PR_CHANGE="",IF(TITLE_NUMBER_PR="","",TITLE_NUMBER_PR),TITLE_NUMBER_PR_CHANGE)</f>
        <v>403-гвс, 404-гвс, 406-гвс</v>
      </c>
      <c r="W31" s="472"/>
      <c r="X31" s="472"/>
      <c r="Y31" s="472"/>
      <c r="Z31" s="472"/>
      <c r="AA31" s="472"/>
      <c r="AB31" s="472"/>
      <c r="AC31" s="42"/>
      <c r="AD31" s="472" t="str">
        <f aca="false">IF(TITLE_NUMBER_PR_CHANGE="",IF(TITLE_NUMBER_PR="","",TITLE_NUMBER_PR),TITLE_NUMBER_PR_CHANGE)</f>
        <v>403-гвс, 404-гвс, 406-гвс</v>
      </c>
      <c r="AE31" s="472"/>
      <c r="AF31" s="472"/>
      <c r="AG31" s="472"/>
      <c r="AH31" s="472"/>
      <c r="AI31" s="472"/>
      <c r="AJ31" s="472"/>
      <c r="AK31" s="42"/>
      <c r="AL31" s="42"/>
      <c r="AM31" s="473"/>
      <c r="AN31" s="117"/>
      <c r="AO31" s="117"/>
      <c r="AP31" s="117"/>
      <c r="AQ31" s="117"/>
      <c r="AR31" s="117"/>
    </row>
    <row r="32" s="174" customFormat="true" ht="18.75" hidden="true" customHeight="true" outlineLevel="0" collapsed="false">
      <c r="A32" s="95"/>
      <c r="B32" s="95"/>
      <c r="C32" s="95"/>
      <c r="D32" s="95"/>
      <c r="E32" s="95"/>
      <c r="F32" s="95"/>
      <c r="G32" s="95"/>
      <c r="H32" s="95"/>
      <c r="I32" s="95"/>
      <c r="J32" s="95"/>
      <c r="K32" s="95"/>
      <c r="L32" s="493"/>
      <c r="M32" s="95"/>
      <c r="N32" s="95"/>
      <c r="O32" s="95"/>
      <c r="S32" s="470" t="s">
        <v>39</v>
      </c>
      <c r="T32" s="470"/>
      <c r="U32" s="471"/>
      <c r="V32" s="472" t="str">
        <f aca="false">IF(TITLE_IST_PUB_CHANGE="",IF(TITLE_IST_PUB="","",TITLE_IST_PUB),TITLE_IST_PUB_CHANGE)</f>
        <v>официальный интернет- портал правовой информации www.pravo.gov.ru</v>
      </c>
      <c r="W32" s="472"/>
      <c r="X32" s="472"/>
      <c r="Y32" s="472"/>
      <c r="Z32" s="472"/>
      <c r="AA32" s="472"/>
      <c r="AB32" s="472"/>
      <c r="AC32" s="42"/>
      <c r="AD32" s="472" t="str">
        <f aca="false">IF(TITLE_IST_PUB_CHANGE="",IF(TITLE_IST_PUB="","",TITLE_IST_PUB),TITLE_IST_PUB_CHANGE)</f>
        <v>официальный интернет- портал правовой информации www.pravo.gov.ru</v>
      </c>
      <c r="AE32" s="472"/>
      <c r="AF32" s="472"/>
      <c r="AG32" s="472"/>
      <c r="AH32" s="472"/>
      <c r="AI32" s="472"/>
      <c r="AJ32" s="472"/>
      <c r="AK32" s="42"/>
      <c r="AL32" s="42"/>
      <c r="AM32" s="473"/>
      <c r="AN32" s="117"/>
      <c r="AO32" s="117"/>
      <c r="AP32" s="117"/>
      <c r="AQ32" s="117"/>
      <c r="AR32" s="117"/>
    </row>
    <row r="33" customFormat="false" ht="14.25" hidden="true" customHeight="true" outlineLevel="0" collapsed="false">
      <c r="Q33" s="467"/>
      <c r="R33" s="467"/>
      <c r="S33" s="468"/>
      <c r="T33" s="79"/>
      <c r="U33" s="79"/>
      <c r="V33" s="469"/>
      <c r="W33" s="469"/>
      <c r="X33" s="469"/>
      <c r="Y33" s="469"/>
      <c r="Z33" s="469"/>
      <c r="AA33" s="469"/>
      <c r="AB33" s="469"/>
      <c r="AC33" s="469"/>
      <c r="AD33" s="469"/>
      <c r="AE33" s="469"/>
      <c r="AF33" s="469"/>
      <c r="AG33" s="469"/>
      <c r="AH33" s="469"/>
      <c r="AI33" s="469"/>
      <c r="AJ33" s="469"/>
      <c r="AK33" s="469"/>
    </row>
    <row r="34" s="174" customFormat="true" ht="18.75" hidden="true" customHeight="true" outlineLevel="0" collapsed="false">
      <c r="A34" s="95"/>
      <c r="B34" s="95"/>
      <c r="C34" s="95"/>
      <c r="D34" s="95"/>
      <c r="E34" s="95"/>
      <c r="F34" s="95"/>
      <c r="G34" s="95"/>
      <c r="H34" s="95"/>
      <c r="I34" s="95"/>
      <c r="J34" s="95"/>
      <c r="K34" s="95"/>
      <c r="L34" s="493"/>
      <c r="M34" s="95"/>
      <c r="N34" s="95"/>
      <c r="O34" s="95"/>
      <c r="S34" s="470" t="s">
        <v>439</v>
      </c>
      <c r="T34" s="470"/>
      <c r="U34" s="471"/>
      <c r="V34" s="474" t="str">
        <f aca="false">IF(TITLE_DATE_PR_CHANGE="",IF(TITLE_DATE_PR="","",TITLE_DATE_PR),TITLE_DATE_PR_CHANGE)</f>
        <v>45279.46460648148</v>
      </c>
      <c r="W34" s="474"/>
      <c r="X34" s="474"/>
      <c r="Y34" s="474"/>
      <c r="Z34" s="474"/>
      <c r="AA34" s="474"/>
      <c r="AB34" s="474"/>
      <c r="AC34" s="42"/>
      <c r="AD34" s="474" t="str">
        <f aca="false">IF(TITLE_DATE_PR_CHANGE="",IF(TITLE_DATE_PR="","",TITLE_DATE_PR),TITLE_DATE_PR_CHANGE)</f>
        <v>45279.46460648148</v>
      </c>
      <c r="AE34" s="474"/>
      <c r="AF34" s="474"/>
      <c r="AG34" s="474"/>
      <c r="AH34" s="474"/>
      <c r="AI34" s="474"/>
      <c r="AJ34" s="474"/>
      <c r="AK34" s="42"/>
      <c r="AL34" s="42"/>
      <c r="AM34" s="473"/>
      <c r="AN34" s="117"/>
      <c r="AO34" s="117"/>
      <c r="AP34" s="117"/>
      <c r="AQ34" s="117"/>
      <c r="AR34" s="117"/>
    </row>
    <row r="35" s="174" customFormat="true" ht="18.75" hidden="true" customHeight="true" outlineLevel="0" collapsed="false">
      <c r="A35" s="95"/>
      <c r="B35" s="95"/>
      <c r="C35" s="95"/>
      <c r="D35" s="95"/>
      <c r="E35" s="95"/>
      <c r="F35" s="95"/>
      <c r="G35" s="95"/>
      <c r="H35" s="95"/>
      <c r="I35" s="95"/>
      <c r="J35" s="95"/>
      <c r="K35" s="95"/>
      <c r="L35" s="493"/>
      <c r="M35" s="95"/>
      <c r="N35" s="95"/>
      <c r="O35" s="95"/>
      <c r="S35" s="470" t="s">
        <v>440</v>
      </c>
      <c r="T35" s="470"/>
      <c r="U35" s="471"/>
      <c r="V35" s="472" t="str">
        <f aca="false">IF(TITLE_NUMBER_PR_CHANGE="",IF(TITLE_NUMBER_PR="","",TITLE_NUMBER_PR),TITLE_NUMBER_PR_CHANGE)</f>
        <v>403-гвс, 404-гвс, 406-гвс</v>
      </c>
      <c r="W35" s="472"/>
      <c r="X35" s="472"/>
      <c r="Y35" s="472"/>
      <c r="Z35" s="472"/>
      <c r="AA35" s="472"/>
      <c r="AB35" s="472"/>
      <c r="AC35" s="42"/>
      <c r="AD35" s="472" t="str">
        <f aca="false">IF(TITLE_NUMBER_PR_CHANGE="",IF(TITLE_NUMBER_PR="","",TITLE_NUMBER_PR),TITLE_NUMBER_PR_CHANGE)</f>
        <v>403-гвс, 404-гвс, 406-гвс</v>
      </c>
      <c r="AE35" s="472"/>
      <c r="AF35" s="472"/>
      <c r="AG35" s="472"/>
      <c r="AH35" s="472"/>
      <c r="AI35" s="472"/>
      <c r="AJ35" s="472"/>
      <c r="AK35" s="42"/>
      <c r="AL35" s="42"/>
      <c r="AM35" s="473"/>
      <c r="AN35" s="117"/>
      <c r="AO35" s="117"/>
      <c r="AP35" s="117"/>
      <c r="AQ35" s="117"/>
      <c r="AR35" s="117"/>
    </row>
    <row r="36" s="174" customFormat="true" ht="12.8" hidden="false" customHeight="false" outlineLevel="0" collapsed="false">
      <c r="A36" s="95"/>
      <c r="B36" s="95"/>
      <c r="C36" s="95"/>
      <c r="D36" s="95"/>
      <c r="E36" s="95"/>
      <c r="F36" s="95"/>
      <c r="G36" s="95"/>
      <c r="H36" s="95"/>
      <c r="I36" s="95"/>
      <c r="J36" s="95"/>
      <c r="K36" s="95"/>
      <c r="L36" s="493"/>
      <c r="M36" s="95"/>
      <c r="N36" s="95"/>
      <c r="O36" s="95"/>
      <c r="S36" s="42"/>
      <c r="T36" s="42"/>
      <c r="U36" s="127"/>
      <c r="V36" s="42"/>
      <c r="W36" s="42"/>
      <c r="X36" s="42"/>
      <c r="Y36" s="42"/>
      <c r="Z36" s="42"/>
      <c r="AA36" s="42"/>
      <c r="AB36" s="42"/>
      <c r="AC36" s="47" t="s">
        <v>441</v>
      </c>
      <c r="AD36" s="42"/>
      <c r="AE36" s="42"/>
      <c r="AF36" s="42"/>
      <c r="AG36" s="42"/>
      <c r="AH36" s="42"/>
      <c r="AI36" s="42"/>
      <c r="AJ36" s="42"/>
      <c r="AK36" s="47" t="s">
        <v>441</v>
      </c>
      <c r="AN36" s="117"/>
      <c r="AO36" s="117"/>
      <c r="AP36" s="117"/>
      <c r="AQ36" s="117"/>
      <c r="AR36" s="117"/>
    </row>
    <row r="37" customFormat="false" ht="14.25" hidden="false" customHeight="true" outlineLevel="0" collapsed="false">
      <c r="Q37" s="467"/>
      <c r="R37" s="467"/>
      <c r="S37" s="468"/>
      <c r="T37" s="79"/>
      <c r="U37" s="475"/>
      <c r="V37" s="476"/>
      <c r="W37" s="476"/>
      <c r="X37" s="476"/>
      <c r="Y37" s="476"/>
      <c r="Z37" s="476"/>
      <c r="AA37" s="476"/>
      <c r="AB37" s="476"/>
      <c r="AC37" s="476"/>
      <c r="AD37" s="476"/>
      <c r="AE37" s="476"/>
      <c r="AF37" s="476"/>
      <c r="AG37" s="476"/>
      <c r="AH37" s="476"/>
      <c r="AI37" s="476"/>
      <c r="AJ37" s="476"/>
      <c r="AK37" s="476"/>
    </row>
    <row r="38" customFormat="false" ht="14.25" hidden="false" customHeight="true" outlineLevel="0" collapsed="false">
      <c r="Q38" s="467"/>
      <c r="R38" s="467"/>
      <c r="S38" s="133" t="s">
        <v>316</v>
      </c>
      <c r="T38" s="133"/>
      <c r="U38" s="133"/>
      <c r="V38" s="133"/>
      <c r="W38" s="133"/>
      <c r="X38" s="133"/>
      <c r="Y38" s="133"/>
      <c r="Z38" s="133"/>
      <c r="AA38" s="133"/>
      <c r="AB38" s="133"/>
      <c r="AC38" s="133"/>
      <c r="AD38" s="133"/>
      <c r="AE38" s="133"/>
      <c r="AF38" s="133"/>
      <c r="AG38" s="133"/>
      <c r="AH38" s="133"/>
      <c r="AI38" s="133"/>
      <c r="AJ38" s="133"/>
      <c r="AK38" s="133"/>
      <c r="AL38" s="133"/>
      <c r="AM38" s="133" t="s">
        <v>317</v>
      </c>
    </row>
    <row r="39" customFormat="false" ht="14.25" hidden="false" customHeight="true" outlineLevel="0" collapsed="false">
      <c r="Q39" s="467"/>
      <c r="R39" s="467"/>
      <c r="S39" s="477" t="s">
        <v>84</v>
      </c>
      <c r="T39" s="394" t="s">
        <v>442</v>
      </c>
      <c r="U39" s="478"/>
      <c r="V39" s="300" t="s">
        <v>443</v>
      </c>
      <c r="W39" s="300"/>
      <c r="X39" s="300"/>
      <c r="Y39" s="300"/>
      <c r="Z39" s="300"/>
      <c r="AA39" s="300"/>
      <c r="AB39" s="300"/>
      <c r="AC39" s="394" t="s">
        <v>444</v>
      </c>
      <c r="AD39" s="300" t="s">
        <v>443</v>
      </c>
      <c r="AE39" s="300"/>
      <c r="AF39" s="300"/>
      <c r="AG39" s="300"/>
      <c r="AH39" s="300"/>
      <c r="AI39" s="300"/>
      <c r="AJ39" s="300"/>
      <c r="AK39" s="394" t="s">
        <v>445</v>
      </c>
      <c r="AL39" s="479" t="s">
        <v>446</v>
      </c>
      <c r="AM39" s="133"/>
    </row>
    <row r="40" customFormat="false" ht="33.75" hidden="false" customHeight="true" outlineLevel="0" collapsed="false">
      <c r="Q40" s="467"/>
      <c r="R40" s="467"/>
      <c r="S40" s="477"/>
      <c r="T40" s="394"/>
      <c r="U40" s="480"/>
      <c r="V40" s="133" t="s">
        <v>447</v>
      </c>
      <c r="W40" s="431" t="s">
        <v>448</v>
      </c>
      <c r="X40" s="133" t="s">
        <v>449</v>
      </c>
      <c r="Y40" s="133"/>
      <c r="Z40" s="133" t="s">
        <v>462</v>
      </c>
      <c r="AA40" s="133"/>
      <c r="AB40" s="133"/>
      <c r="AC40" s="394"/>
      <c r="AD40" s="133" t="s">
        <v>447</v>
      </c>
      <c r="AE40" s="431" t="s">
        <v>448</v>
      </c>
      <c r="AF40" s="133" t="s">
        <v>449</v>
      </c>
      <c r="AG40" s="133"/>
      <c r="AH40" s="133" t="s">
        <v>450</v>
      </c>
      <c r="AI40" s="133"/>
      <c r="AJ40" s="133"/>
      <c r="AK40" s="394"/>
      <c r="AL40" s="479"/>
      <c r="AM40" s="133"/>
    </row>
    <row r="41" customFormat="false" ht="33.75" hidden="false" customHeight="true" outlineLevel="0" collapsed="false">
      <c r="A41" s="95"/>
      <c r="B41" s="95" t="s">
        <v>142</v>
      </c>
      <c r="C41" s="95" t="s">
        <v>143</v>
      </c>
      <c r="D41" s="95" t="s">
        <v>144</v>
      </c>
      <c r="E41" s="493" t="s">
        <v>451</v>
      </c>
      <c r="F41" s="493" t="s">
        <v>452</v>
      </c>
      <c r="G41" s="493" t="s">
        <v>453</v>
      </c>
      <c r="H41" s="493" t="s">
        <v>454</v>
      </c>
      <c r="I41" s="493" t="s">
        <v>455</v>
      </c>
      <c r="J41" s="493" t="s">
        <v>456</v>
      </c>
      <c r="K41" s="493" t="s">
        <v>457</v>
      </c>
      <c r="L41" s="493" t="s">
        <v>432</v>
      </c>
      <c r="Q41" s="467"/>
      <c r="R41" s="467"/>
      <c r="S41" s="477"/>
      <c r="T41" s="394"/>
      <c r="U41" s="481"/>
      <c r="V41" s="133"/>
      <c r="W41" s="431"/>
      <c r="X41" s="184" t="s">
        <v>458</v>
      </c>
      <c r="Y41" s="184" t="s">
        <v>459</v>
      </c>
      <c r="Z41" s="184" t="s">
        <v>460</v>
      </c>
      <c r="AA41" s="184" t="s">
        <v>461</v>
      </c>
      <c r="AB41" s="184"/>
      <c r="AC41" s="394"/>
      <c r="AD41" s="133"/>
      <c r="AE41" s="431"/>
      <c r="AF41" s="184" t="s">
        <v>458</v>
      </c>
      <c r="AG41" s="184" t="s">
        <v>459</v>
      </c>
      <c r="AH41" s="184" t="s">
        <v>460</v>
      </c>
      <c r="AI41" s="184" t="s">
        <v>461</v>
      </c>
      <c r="AJ41" s="184"/>
      <c r="AK41" s="394"/>
      <c r="AL41" s="479"/>
      <c r="AM41" s="133"/>
    </row>
    <row r="42" s="119" customFormat="true" ht="11.25" hidden="true" customHeight="true" outlineLevel="0" collapsed="false">
      <c r="A42" s="95"/>
      <c r="B42" s="95"/>
      <c r="C42" s="95"/>
      <c r="D42" s="95"/>
      <c r="E42" s="95"/>
      <c r="F42" s="95"/>
      <c r="G42" s="95"/>
      <c r="H42" s="95"/>
      <c r="I42" s="95"/>
      <c r="J42" s="95"/>
      <c r="K42" s="95"/>
      <c r="L42" s="493"/>
      <c r="M42" s="50"/>
      <c r="N42" s="50"/>
      <c r="O42" s="50"/>
      <c r="P42" s="482"/>
      <c r="Q42" s="483"/>
      <c r="R42" s="484" t="n">
        <v>1</v>
      </c>
      <c r="S42" s="485" t="s">
        <v>117</v>
      </c>
      <c r="T42" s="486" t="s">
        <v>99</v>
      </c>
      <c r="U42" s="487" t="str">
        <f aca="true">OFFSET(U42,0,-1)</f>
        <v>2</v>
      </c>
      <c r="V42" s="488" t="n">
        <f aca="true">OFFSET(V42,0,-1)+1</f>
        <v>3</v>
      </c>
      <c r="W42" s="488"/>
      <c r="X42" s="488" t="n">
        <f aca="true">OFFSET(X42,0,-1)+1</f>
        <v>1</v>
      </c>
      <c r="Y42" s="488" t="n">
        <f aca="true">OFFSET(Y42,0,-1)+1</f>
        <v>2</v>
      </c>
      <c r="Z42" s="488" t="n">
        <f aca="true">OFFSET(Z42,0,-1)+1</f>
        <v>3</v>
      </c>
      <c r="AA42" s="488" t="n">
        <f aca="true">OFFSET(AA42,0,-1)+1</f>
        <v>4</v>
      </c>
      <c r="AB42" s="488"/>
      <c r="AC42" s="488" t="n">
        <f aca="true">OFFSET(AC42,0,-2)+1</f>
        <v>5</v>
      </c>
      <c r="AD42" s="488" t="n">
        <f aca="true">OFFSET(AD42,0,-1)+1</f>
        <v>6</v>
      </c>
      <c r="AE42" s="488"/>
      <c r="AF42" s="488" t="n">
        <f aca="true">OFFSET(AF42,0,-1)+1</f>
        <v>1</v>
      </c>
      <c r="AG42" s="488" t="n">
        <f aca="true">OFFSET(AG42,0,-1)+1</f>
        <v>2</v>
      </c>
      <c r="AH42" s="488" t="n">
        <f aca="true">OFFSET(AH42,0,-1)+1</f>
        <v>3</v>
      </c>
      <c r="AI42" s="488" t="n">
        <f aca="true">OFFSET(AI42,0,-1)+1</f>
        <v>4</v>
      </c>
      <c r="AJ42" s="488"/>
      <c r="AK42" s="488" t="n">
        <f aca="true">OFFSET(AK42,0,-2)+1</f>
        <v>5</v>
      </c>
      <c r="AL42" s="487" t="n">
        <f aca="true">OFFSET(AL42,0,-1)</f>
        <v>5</v>
      </c>
      <c r="AM42" s="488" t="n">
        <f aca="true">OFFSET(AM42,0,-1)+1</f>
        <v>6</v>
      </c>
      <c r="AN42" s="47"/>
      <c r="AO42" s="47"/>
      <c r="AP42" s="47"/>
      <c r="AQ42" s="47"/>
      <c r="AR42" s="47"/>
    </row>
    <row r="43" customFormat="false" ht="21" hidden="false" customHeight="true" outlineLevel="0" collapsed="false">
      <c r="A43" s="233" t="s">
        <v>217</v>
      </c>
      <c r="B43" s="233"/>
      <c r="C43" s="233"/>
      <c r="D43" s="233"/>
      <c r="E43" s="492" t="n">
        <v>1</v>
      </c>
      <c r="F43" s="233"/>
      <c r="G43" s="233"/>
      <c r="H43" s="233"/>
      <c r="I43" s="233"/>
      <c r="J43" s="233"/>
      <c r="K43" s="233"/>
      <c r="L43" s="493"/>
      <c r="M43" s="75"/>
      <c r="N43" s="75"/>
      <c r="O43" s="75"/>
      <c r="Q43" s="131"/>
      <c r="R43" s="418"/>
      <c r="S43" s="419" t="n">
        <f aca="false">INDEX(PT_DIFFERENTIATION_NUM_NTAR,MATCH(A43,PT_DIFFERENTIATION_NTAR_ID,0))</f>
        <v>0</v>
      </c>
      <c r="T43" s="420" t="s">
        <v>130</v>
      </c>
      <c r="U43" s="421"/>
      <c r="V43" s="422"/>
      <c r="W43" s="422"/>
      <c r="X43" s="422"/>
      <c r="Y43" s="422"/>
      <c r="Z43" s="422"/>
      <c r="AA43" s="422"/>
      <c r="AB43" s="422"/>
      <c r="AC43" s="422"/>
      <c r="AD43" s="423" t="str">
        <f aca="false">INDEX(PT_DIFFERENTIATION_NTAR,MATCH(A43,PT_DIFFERENTIATION_NTAR_ID,0))</f>
        <v/>
      </c>
      <c r="AE43" s="423"/>
      <c r="AF43" s="423"/>
      <c r="AG43" s="423"/>
      <c r="AH43" s="423"/>
      <c r="AI43" s="423"/>
      <c r="AJ43" s="423"/>
      <c r="AK43" s="423"/>
      <c r="AL43" s="423"/>
      <c r="AM43" s="424"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7"/>
      <c r="AP43" s="117" t="str">
        <f aca="false">IF(T43="","",T43)</f>
        <v>Наименование тарифа</v>
      </c>
      <c r="AQ43" s="117"/>
      <c r="AR43" s="117"/>
    </row>
    <row r="44" customFormat="false" ht="21" hidden="false" customHeight="true" outlineLevel="0" collapsed="false">
      <c r="A44" s="233" t="s">
        <v>217</v>
      </c>
      <c r="B44" s="233" t="s">
        <v>218</v>
      </c>
      <c r="C44" s="233"/>
      <c r="D44" s="233"/>
      <c r="E44" s="492"/>
      <c r="F44" s="492" t="n">
        <v>1</v>
      </c>
      <c r="G44" s="233"/>
      <c r="H44" s="233"/>
      <c r="I44" s="233"/>
      <c r="J44" s="233"/>
      <c r="K44" s="233"/>
      <c r="L44" s="493"/>
      <c r="M44" s="75"/>
      <c r="N44" s="75"/>
      <c r="O44" s="75"/>
      <c r="P44" s="43"/>
      <c r="Q44" s="425"/>
      <c r="R44" s="426"/>
      <c r="S44" s="419" t="str">
        <f aca="false">INDEX(PT_DIFFERENTIATION_NUM_TER,MATCH(B44,PT_DIFFERENTIATION_TER_ID,0))</f>
        <v>.</v>
      </c>
      <c r="T44" s="427" t="s">
        <v>413</v>
      </c>
      <c r="U44" s="421"/>
      <c r="V44" s="422"/>
      <c r="W44" s="422"/>
      <c r="X44" s="422"/>
      <c r="Y44" s="422"/>
      <c r="Z44" s="422"/>
      <c r="AA44" s="422"/>
      <c r="AB44" s="422"/>
      <c r="AC44" s="422"/>
      <c r="AD44" s="423" t="str">
        <f aca="false">INDEX(PT_DIFFERENTIATION_TER,MATCH(B44,PT_DIFFERENTIATION_TER_ID,0))</f>
        <v/>
      </c>
      <c r="AE44" s="423"/>
      <c r="AF44" s="423"/>
      <c r="AG44" s="423"/>
      <c r="AH44" s="423"/>
      <c r="AI44" s="423"/>
      <c r="AJ44" s="423"/>
      <c r="AK44" s="423"/>
      <c r="AL44" s="423"/>
      <c r="AM44" s="424" t="s">
        <v>414</v>
      </c>
      <c r="AO44" s="117"/>
      <c r="AP44" s="117" t="str">
        <f aca="false">IF(T44="","",T44)</f>
        <v>Территория действия тарифа</v>
      </c>
      <c r="AQ44" s="117"/>
      <c r="AR44" s="117"/>
    </row>
    <row r="45" customFormat="false" ht="23.25" hidden="false" customHeight="true" outlineLevel="0" collapsed="false">
      <c r="A45" s="233" t="s">
        <v>217</v>
      </c>
      <c r="B45" s="233" t="s">
        <v>218</v>
      </c>
      <c r="C45" s="233" t="s">
        <v>219</v>
      </c>
      <c r="D45" s="233"/>
      <c r="E45" s="492"/>
      <c r="F45" s="492"/>
      <c r="G45" s="492" t="n">
        <v>1</v>
      </c>
      <c r="H45" s="233"/>
      <c r="I45" s="233"/>
      <c r="J45" s="233"/>
      <c r="K45" s="233"/>
      <c r="L45" s="493"/>
      <c r="M45" s="75"/>
      <c r="N45" s="75"/>
      <c r="O45" s="75"/>
      <c r="P45" s="428"/>
      <c r="Q45" s="425"/>
      <c r="R45" s="426"/>
      <c r="S45" s="419" t="str">
        <f aca="false">INDEX(PT_DIFFERENTIATION_NUM_CS,MATCH(C45,PT_DIFFERENTIATION_CS_ID,0))</f>
        <v>..</v>
      </c>
      <c r="T45" s="429" t="s">
        <v>415</v>
      </c>
      <c r="U45" s="421"/>
      <c r="V45" s="422"/>
      <c r="W45" s="422"/>
      <c r="X45" s="422"/>
      <c r="Y45" s="422"/>
      <c r="Z45" s="422"/>
      <c r="AA45" s="422"/>
      <c r="AB45" s="422"/>
      <c r="AC45" s="422"/>
      <c r="AD45" s="423" t="str">
        <f aca="false">INDEX(PT_DIFFERENTIATION_CS,MATCH(C45,PT_DIFFERENTIATION_CS_ID,0))</f>
        <v/>
      </c>
      <c r="AE45" s="423"/>
      <c r="AF45" s="423"/>
      <c r="AG45" s="423"/>
      <c r="AH45" s="423"/>
      <c r="AI45" s="423"/>
      <c r="AJ45" s="423"/>
      <c r="AK45" s="423"/>
      <c r="AL45" s="423"/>
      <c r="AM45" s="424" t="s">
        <v>416</v>
      </c>
      <c r="AO45" s="117"/>
      <c r="AP45" s="117" t="str">
        <f aca="false">IF(T45="","",T45)</f>
        <v>Наименование системы теплоснабжения</v>
      </c>
      <c r="AQ45" s="117"/>
      <c r="AR45" s="117"/>
    </row>
    <row r="46" customFormat="false" ht="21" hidden="false" customHeight="true" outlineLevel="0" collapsed="false">
      <c r="A46" s="233" t="s">
        <v>217</v>
      </c>
      <c r="B46" s="233" t="s">
        <v>218</v>
      </c>
      <c r="C46" s="233" t="s">
        <v>219</v>
      </c>
      <c r="D46" s="233" t="s">
        <v>220</v>
      </c>
      <c r="E46" s="492"/>
      <c r="F46" s="492"/>
      <c r="G46" s="492"/>
      <c r="H46" s="492" t="n">
        <v>1</v>
      </c>
      <c r="I46" s="233"/>
      <c r="J46" s="233"/>
      <c r="K46" s="233"/>
      <c r="L46" s="493"/>
      <c r="M46" s="75"/>
      <c r="N46" s="75"/>
      <c r="O46" s="75"/>
      <c r="P46" s="428"/>
      <c r="Q46" s="425"/>
      <c r="R46" s="426"/>
      <c r="S46" s="419" t="str">
        <f aca="false">INDEX(PT_DIFFERENTIATION_NUM_IST_TE,MATCH(D46,PT_DIFFERENTIATION_IST_TE_ID,0))</f>
        <v>...</v>
      </c>
      <c r="T46" s="430" t="s">
        <v>417</v>
      </c>
      <c r="U46" s="421"/>
      <c r="V46" s="422"/>
      <c r="W46" s="422"/>
      <c r="X46" s="422"/>
      <c r="Y46" s="422"/>
      <c r="Z46" s="422"/>
      <c r="AA46" s="422"/>
      <c r="AB46" s="422"/>
      <c r="AC46" s="422"/>
      <c r="AD46" s="423" t="str">
        <f aca="false">INDEX(PT_DIFFERENTIATION_IST_TE,MATCH(D46,PT_DIFFERENTIATION_IST_TE_ID,0))</f>
        <v/>
      </c>
      <c r="AE46" s="423"/>
      <c r="AF46" s="423"/>
      <c r="AG46" s="423"/>
      <c r="AH46" s="423"/>
      <c r="AI46" s="423"/>
      <c r="AJ46" s="423"/>
      <c r="AK46" s="423"/>
      <c r="AL46" s="423"/>
      <c r="AM46" s="424" t="s">
        <v>418</v>
      </c>
      <c r="AO46" s="117"/>
      <c r="AP46" s="117" t="str">
        <f aca="false">IF(T46="","",T46)</f>
        <v>Источник тепловой энергии</v>
      </c>
      <c r="AQ46" s="117"/>
      <c r="AR46" s="117"/>
    </row>
    <row r="47" customFormat="false" ht="47.25" hidden="false" customHeight="true" outlineLevel="0" collapsed="false">
      <c r="A47" s="233" t="s">
        <v>217</v>
      </c>
      <c r="B47" s="233" t="s">
        <v>218</v>
      </c>
      <c r="C47" s="233" t="s">
        <v>219</v>
      </c>
      <c r="D47" s="233" t="s">
        <v>220</v>
      </c>
      <c r="E47" s="492"/>
      <c r="F47" s="492"/>
      <c r="G47" s="492"/>
      <c r="H47" s="492"/>
      <c r="I47" s="145" t="str">
        <f aca="false">S46&amp;".1"</f>
        <v>....1</v>
      </c>
      <c r="J47" s="233"/>
      <c r="K47" s="233"/>
      <c r="L47" s="493" t="s">
        <v>419</v>
      </c>
      <c r="P47" s="120" t="n">
        <v>1</v>
      </c>
      <c r="Q47" s="120"/>
      <c r="R47" s="432"/>
      <c r="S47" s="419" t="str">
        <f aca="false">$I47</f>
        <v>....1</v>
      </c>
      <c r="T47" s="433" t="s">
        <v>420</v>
      </c>
      <c r="U47" s="421"/>
      <c r="V47" s="434"/>
      <c r="W47" s="434"/>
      <c r="X47" s="434"/>
      <c r="Y47" s="434"/>
      <c r="Z47" s="434"/>
      <c r="AA47" s="434"/>
      <c r="AB47" s="434"/>
      <c r="AC47" s="434"/>
      <c r="AD47" s="434"/>
      <c r="AE47" s="434"/>
      <c r="AF47" s="434"/>
      <c r="AG47" s="434"/>
      <c r="AH47" s="434"/>
      <c r="AI47" s="434"/>
      <c r="AJ47" s="434"/>
      <c r="AK47" s="434"/>
      <c r="AL47" s="434"/>
      <c r="AM47" s="424" t="s">
        <v>421</v>
      </c>
      <c r="AO47" s="117"/>
      <c r="AP47" s="117" t="str">
        <f aca="false">IF(T47="","",T47)</f>
        <v>Схема подключения теплопотребляющей установки к коллектору источника тепловой энергии</v>
      </c>
      <c r="AQ47" s="117"/>
      <c r="AR47" s="117"/>
    </row>
    <row r="48" customFormat="false" ht="21" hidden="false" customHeight="true" outlineLevel="0" collapsed="false">
      <c r="A48" s="233" t="s">
        <v>217</v>
      </c>
      <c r="B48" s="233" t="s">
        <v>218</v>
      </c>
      <c r="C48" s="233" t="s">
        <v>219</v>
      </c>
      <c r="D48" s="233" t="s">
        <v>220</v>
      </c>
      <c r="E48" s="492"/>
      <c r="F48" s="492"/>
      <c r="G48" s="492"/>
      <c r="H48" s="492"/>
      <c r="I48" s="145"/>
      <c r="J48" s="133" t="str">
        <f aca="false">I47&amp;".1"</f>
        <v>....1.1</v>
      </c>
      <c r="K48" s="233"/>
      <c r="L48" s="493" t="s">
        <v>422</v>
      </c>
      <c r="P48" s="120"/>
      <c r="Q48" s="120" t="n">
        <v>1</v>
      </c>
      <c r="R48" s="435"/>
      <c r="S48" s="419" t="str">
        <f aca="false">$J48</f>
        <v>....1.1</v>
      </c>
      <c r="T48" s="436" t="s">
        <v>423</v>
      </c>
      <c r="U48" s="421"/>
      <c r="V48" s="434"/>
      <c r="W48" s="434"/>
      <c r="X48" s="434"/>
      <c r="Y48" s="434"/>
      <c r="Z48" s="434"/>
      <c r="AA48" s="434"/>
      <c r="AB48" s="434"/>
      <c r="AC48" s="434"/>
      <c r="AD48" s="434"/>
      <c r="AE48" s="434"/>
      <c r="AF48" s="434"/>
      <c r="AG48" s="434"/>
      <c r="AH48" s="434"/>
      <c r="AI48" s="434"/>
      <c r="AJ48" s="434"/>
      <c r="AK48" s="434"/>
      <c r="AL48" s="434"/>
      <c r="AM48" s="424" t="s">
        <v>424</v>
      </c>
      <c r="AO48" s="117"/>
      <c r="AP48" s="117" t="str">
        <f aca="false">IF(T48="","",T48)</f>
        <v>Группа потребителей</v>
      </c>
      <c r="AQ48" s="117"/>
      <c r="AR48" s="117"/>
    </row>
    <row r="49" customFormat="false" ht="21" hidden="false" customHeight="true" outlineLevel="0" collapsed="false">
      <c r="A49" s="233" t="s">
        <v>217</v>
      </c>
      <c r="B49" s="233" t="s">
        <v>218</v>
      </c>
      <c r="C49" s="233" t="s">
        <v>219</v>
      </c>
      <c r="D49" s="233" t="s">
        <v>220</v>
      </c>
      <c r="E49" s="492"/>
      <c r="F49" s="492"/>
      <c r="G49" s="492"/>
      <c r="H49" s="492"/>
      <c r="I49" s="145"/>
      <c r="J49" s="145"/>
      <c r="K49" s="133" t="str">
        <f aca="false">J48&amp;".1"</f>
        <v>....1.1.1</v>
      </c>
      <c r="L49" s="493" t="s">
        <v>425</v>
      </c>
      <c r="P49" s="120"/>
      <c r="Q49" s="120"/>
      <c r="R49" s="435" t="n">
        <v>1</v>
      </c>
      <c r="S49" s="419" t="str">
        <f aca="false">$K49</f>
        <v>....1.1.1</v>
      </c>
      <c r="T49" s="437"/>
      <c r="U49" s="421"/>
      <c r="V49" s="438"/>
      <c r="W49" s="439"/>
      <c r="X49" s="438"/>
      <c r="Y49" s="440"/>
      <c r="Z49" s="441"/>
      <c r="AA49" s="203" t="s">
        <v>63</v>
      </c>
      <c r="AB49" s="441"/>
      <c r="AC49" s="203" t="s">
        <v>63</v>
      </c>
      <c r="AD49" s="438"/>
      <c r="AE49" s="439"/>
      <c r="AF49" s="438"/>
      <c r="AG49" s="440"/>
      <c r="AH49" s="441"/>
      <c r="AI49" s="203" t="s">
        <v>63</v>
      </c>
      <c r="AJ49" s="441"/>
      <c r="AK49" s="203" t="s">
        <v>63</v>
      </c>
      <c r="AL49" s="489"/>
      <c r="AM49" s="442" t="s">
        <v>426</v>
      </c>
      <c r="AN49" s="47" t="e">
        <f aca="false">strcheckdate(V50:AL50)</f>
        <v>#NAME?</v>
      </c>
      <c r="AO49" s="117"/>
      <c r="AP49" s="117" t="str">
        <f aca="false">IF(T49="","",T49)</f>
        <v/>
      </c>
      <c r="AQ49" s="117"/>
      <c r="AR49" s="117"/>
    </row>
    <row r="50" customFormat="false" ht="0.75" hidden="false" customHeight="true" outlineLevel="0" collapsed="false">
      <c r="A50" s="233" t="s">
        <v>217</v>
      </c>
      <c r="B50" s="233" t="s">
        <v>218</v>
      </c>
      <c r="C50" s="233" t="s">
        <v>219</v>
      </c>
      <c r="D50" s="233" t="s">
        <v>220</v>
      </c>
      <c r="E50" s="492"/>
      <c r="F50" s="492"/>
      <c r="G50" s="492"/>
      <c r="H50" s="492"/>
      <c r="I50" s="145"/>
      <c r="J50" s="145"/>
      <c r="K50" s="133"/>
      <c r="L50" s="493"/>
      <c r="P50" s="120"/>
      <c r="Q50" s="120"/>
      <c r="R50" s="435"/>
      <c r="S50" s="396"/>
      <c r="T50" s="421"/>
      <c r="U50" s="421"/>
      <c r="V50" s="439"/>
      <c r="W50" s="439"/>
      <c r="X50" s="439"/>
      <c r="Y50" s="443" t="str">
        <f aca="false">Z49&amp;"-"&amp;AB49</f>
        <v>-</v>
      </c>
      <c r="Z50" s="441"/>
      <c r="AA50" s="203"/>
      <c r="AB50" s="441"/>
      <c r="AC50" s="203"/>
      <c r="AD50" s="439"/>
      <c r="AE50" s="439"/>
      <c r="AF50" s="439"/>
      <c r="AG50" s="443" t="str">
        <f aca="false">AH49&amp;"-"&amp;AJ49</f>
        <v>-</v>
      </c>
      <c r="AH50" s="441"/>
      <c r="AI50" s="203"/>
      <c r="AJ50" s="441"/>
      <c r="AK50" s="203"/>
      <c r="AL50" s="490"/>
      <c r="AM50" s="442"/>
      <c r="AO50" s="117"/>
      <c r="AP50" s="117" t="str">
        <f aca="false">IF(T50="","",T50)</f>
        <v/>
      </c>
      <c r="AQ50" s="117"/>
      <c r="AR50" s="117"/>
    </row>
    <row r="51" customFormat="false" ht="11.25" hidden="false" customHeight="true" outlineLevel="0" collapsed="false">
      <c r="A51" s="233" t="s">
        <v>217</v>
      </c>
      <c r="B51" s="233" t="s">
        <v>218</v>
      </c>
      <c r="C51" s="233" t="s">
        <v>219</v>
      </c>
      <c r="D51" s="233" t="s">
        <v>220</v>
      </c>
      <c r="E51" s="492"/>
      <c r="F51" s="492"/>
      <c r="G51" s="492"/>
      <c r="H51" s="492"/>
      <c r="I51" s="145"/>
      <c r="J51" s="133"/>
      <c r="K51" s="233"/>
      <c r="L51" s="493"/>
      <c r="P51" s="120"/>
      <c r="Q51" s="120"/>
      <c r="R51" s="432"/>
      <c r="S51" s="444"/>
      <c r="T51" s="445" t="s">
        <v>427</v>
      </c>
      <c r="U51" s="193"/>
      <c r="V51" s="193"/>
      <c r="W51" s="193"/>
      <c r="X51" s="193"/>
      <c r="Y51" s="193"/>
      <c r="Z51" s="193"/>
      <c r="AA51" s="193"/>
      <c r="AB51" s="193"/>
      <c r="AC51" s="193"/>
      <c r="AD51" s="193"/>
      <c r="AE51" s="193"/>
      <c r="AF51" s="193"/>
      <c r="AG51" s="193"/>
      <c r="AH51" s="193"/>
      <c r="AI51" s="193"/>
      <c r="AJ51" s="193"/>
      <c r="AK51" s="193"/>
      <c r="AL51" s="446"/>
      <c r="AM51" s="442"/>
      <c r="AO51" s="117"/>
      <c r="AP51" s="117" t="str">
        <f aca="false">IF(T51="","",T51)</f>
        <v>Добавить вид теплоносителя (параметры теплоносителя)</v>
      </c>
      <c r="AQ51" s="117"/>
      <c r="AR51" s="117"/>
    </row>
    <row r="52" customFormat="false" ht="11.25" hidden="false" customHeight="true" outlineLevel="0" collapsed="false">
      <c r="A52" s="233" t="s">
        <v>217</v>
      </c>
      <c r="B52" s="233" t="s">
        <v>218</v>
      </c>
      <c r="C52" s="233" t="s">
        <v>219</v>
      </c>
      <c r="D52" s="233" t="s">
        <v>220</v>
      </c>
      <c r="E52" s="492"/>
      <c r="F52" s="492"/>
      <c r="G52" s="492"/>
      <c r="H52" s="492"/>
      <c r="I52" s="145"/>
      <c r="J52" s="233"/>
      <c r="K52" s="233"/>
      <c r="L52" s="493"/>
      <c r="P52" s="120"/>
      <c r="Q52" s="120"/>
      <c r="R52" s="432"/>
      <c r="S52" s="444"/>
      <c r="T52" s="447" t="s">
        <v>428</v>
      </c>
      <c r="U52" s="193"/>
      <c r="V52" s="193"/>
      <c r="W52" s="193"/>
      <c r="X52" s="193"/>
      <c r="Y52" s="193"/>
      <c r="Z52" s="193"/>
      <c r="AA52" s="193"/>
      <c r="AB52" s="193"/>
      <c r="AC52" s="448"/>
      <c r="AD52" s="193"/>
      <c r="AE52" s="193"/>
      <c r="AF52" s="193"/>
      <c r="AG52" s="193"/>
      <c r="AH52" s="193"/>
      <c r="AI52" s="193"/>
      <c r="AJ52" s="193"/>
      <c r="AK52" s="448"/>
      <c r="AL52" s="193"/>
      <c r="AM52" s="449"/>
      <c r="AO52" s="117"/>
      <c r="AP52" s="117" t="str">
        <f aca="false">IF(T52="","",T52)</f>
        <v>Добавить группу потребителей</v>
      </c>
      <c r="AQ52" s="117"/>
      <c r="AR52" s="117"/>
    </row>
    <row r="53" customFormat="false" ht="14.25" hidden="false" customHeight="true" outlineLevel="0" collapsed="false">
      <c r="A53" s="233" t="s">
        <v>217</v>
      </c>
      <c r="B53" s="233" t="s">
        <v>218</v>
      </c>
      <c r="C53" s="233" t="s">
        <v>219</v>
      </c>
      <c r="D53" s="233" t="s">
        <v>220</v>
      </c>
      <c r="E53" s="492"/>
      <c r="F53" s="492"/>
      <c r="G53" s="492"/>
      <c r="H53" s="492"/>
      <c r="I53" s="233"/>
      <c r="J53" s="233"/>
      <c r="K53" s="233"/>
      <c r="L53" s="493"/>
      <c r="M53" s="75"/>
      <c r="N53" s="75"/>
      <c r="O53" s="42"/>
      <c r="P53" s="131"/>
      <c r="Q53" s="450"/>
      <c r="R53" s="418"/>
      <c r="S53" s="444"/>
      <c r="T53" s="451" t="s">
        <v>429</v>
      </c>
      <c r="U53" s="193"/>
      <c r="V53" s="193"/>
      <c r="W53" s="193"/>
      <c r="X53" s="193"/>
      <c r="Y53" s="193"/>
      <c r="Z53" s="193"/>
      <c r="AA53" s="193"/>
      <c r="AB53" s="193"/>
      <c r="AC53" s="448"/>
      <c r="AD53" s="193"/>
      <c r="AE53" s="193"/>
      <c r="AF53" s="193"/>
      <c r="AG53" s="193"/>
      <c r="AH53" s="193"/>
      <c r="AI53" s="193"/>
      <c r="AJ53" s="193"/>
      <c r="AK53" s="448"/>
      <c r="AL53" s="193"/>
      <c r="AM53" s="449"/>
      <c r="AO53" s="117"/>
      <c r="AP53" s="117" t="str">
        <f aca="false">IF(T53="","",T53)</f>
        <v>Добавить схему подключения</v>
      </c>
      <c r="AQ53" s="117"/>
      <c r="AR53" s="117"/>
    </row>
    <row r="54" s="47" customFormat="true" ht="0.75" hidden="false" customHeight="true" outlineLevel="0" collapsed="false">
      <c r="A54" s="233" t="s">
        <v>217</v>
      </c>
      <c r="B54" s="233" t="s">
        <v>218</v>
      </c>
      <c r="C54" s="233" t="s">
        <v>219</v>
      </c>
      <c r="D54" s="233"/>
      <c r="E54" s="492"/>
      <c r="F54" s="492"/>
      <c r="G54" s="492"/>
      <c r="H54" s="233"/>
      <c r="I54" s="233"/>
      <c r="J54" s="233"/>
      <c r="K54" s="233"/>
      <c r="L54" s="493"/>
      <c r="M54" s="75"/>
      <c r="N54" s="75"/>
      <c r="O54" s="42"/>
      <c r="P54" s="155"/>
      <c r="Q54" s="452"/>
      <c r="R54" s="155"/>
      <c r="S54" s="457"/>
      <c r="T54" s="460" t="s">
        <v>430</v>
      </c>
      <c r="U54" s="459"/>
      <c r="V54" s="459"/>
      <c r="W54" s="459"/>
      <c r="X54" s="459"/>
      <c r="Y54" s="459"/>
      <c r="Z54" s="459"/>
      <c r="AA54" s="459"/>
      <c r="AB54" s="459"/>
      <c r="AC54" s="459"/>
      <c r="AD54" s="459"/>
      <c r="AE54" s="459"/>
      <c r="AF54" s="459"/>
      <c r="AG54" s="459"/>
      <c r="AH54" s="459"/>
      <c r="AI54" s="459"/>
      <c r="AJ54" s="459"/>
      <c r="AK54" s="459"/>
      <c r="AL54" s="459"/>
      <c r="AM54" s="459"/>
      <c r="AO54" s="117"/>
      <c r="AP54" s="117" t="str">
        <f aca="false">IF(T54="","",T54)</f>
        <v>Добавить источник для дифференциации</v>
      </c>
      <c r="AQ54" s="117"/>
      <c r="AR54" s="117"/>
    </row>
    <row r="55" s="47" customFormat="true" ht="0.75" hidden="false" customHeight="true" outlineLevel="0" collapsed="false">
      <c r="A55" s="233" t="s">
        <v>217</v>
      </c>
      <c r="B55" s="233" t="s">
        <v>218</v>
      </c>
      <c r="C55" s="233"/>
      <c r="D55" s="233"/>
      <c r="E55" s="492"/>
      <c r="F55" s="492"/>
      <c r="G55" s="233"/>
      <c r="H55" s="233"/>
      <c r="I55" s="233"/>
      <c r="J55" s="233"/>
      <c r="K55" s="233"/>
      <c r="L55" s="493"/>
      <c r="M55" s="499"/>
      <c r="N55" s="499"/>
      <c r="O55" s="42"/>
      <c r="P55" s="155"/>
      <c r="Q55" s="452"/>
      <c r="R55" s="155"/>
      <c r="S55" s="457"/>
      <c r="T55" s="460" t="s">
        <v>261</v>
      </c>
      <c r="U55" s="459"/>
      <c r="V55" s="459"/>
      <c r="W55" s="459"/>
      <c r="X55" s="459"/>
      <c r="Y55" s="459"/>
      <c r="Z55" s="459"/>
      <c r="AA55" s="459"/>
      <c r="AB55" s="459"/>
      <c r="AC55" s="459"/>
      <c r="AD55" s="459"/>
      <c r="AE55" s="459"/>
      <c r="AF55" s="459"/>
      <c r="AG55" s="459"/>
      <c r="AH55" s="459"/>
      <c r="AI55" s="459"/>
      <c r="AJ55" s="459"/>
      <c r="AK55" s="459"/>
      <c r="AL55" s="459"/>
      <c r="AM55" s="459"/>
      <c r="AO55" s="117"/>
      <c r="AP55" s="117" t="str">
        <f aca="false">IF(T55="","",T55)</f>
        <v>Добавить централизованную систему для дифференциации</v>
      </c>
      <c r="AQ55" s="117"/>
      <c r="AR55" s="117"/>
    </row>
    <row r="56" s="47" customFormat="true" ht="0.75" hidden="false" customHeight="true" outlineLevel="0" collapsed="false">
      <c r="A56" s="233" t="s">
        <v>217</v>
      </c>
      <c r="B56" s="233"/>
      <c r="C56" s="233"/>
      <c r="D56" s="233"/>
      <c r="E56" s="492"/>
      <c r="F56" s="233"/>
      <c r="G56" s="233"/>
      <c r="H56" s="233"/>
      <c r="I56" s="233"/>
      <c r="J56" s="233"/>
      <c r="K56" s="233"/>
      <c r="L56" s="493"/>
      <c r="M56" s="499"/>
      <c r="N56" s="499"/>
      <c r="O56" s="42"/>
      <c r="P56" s="155"/>
      <c r="Q56" s="452"/>
      <c r="R56" s="155"/>
      <c r="S56" s="457"/>
      <c r="T56" s="460" t="s">
        <v>268</v>
      </c>
      <c r="U56" s="459"/>
      <c r="V56" s="459"/>
      <c r="W56" s="459"/>
      <c r="X56" s="459"/>
      <c r="Y56" s="459"/>
      <c r="Z56" s="459"/>
      <c r="AA56" s="459"/>
      <c r="AB56" s="459"/>
      <c r="AC56" s="459"/>
      <c r="AD56" s="459"/>
      <c r="AE56" s="459"/>
      <c r="AF56" s="459"/>
      <c r="AG56" s="459"/>
      <c r="AH56" s="459"/>
      <c r="AI56" s="459"/>
      <c r="AJ56" s="459"/>
      <c r="AK56" s="459"/>
      <c r="AL56" s="459"/>
      <c r="AM56" s="459"/>
      <c r="AO56" s="117"/>
      <c r="AP56" s="117" t="str">
        <f aca="false">IF(T56="","",T56)</f>
        <v>Добавить территорию для дифференциации</v>
      </c>
      <c r="AQ56" s="117"/>
      <c r="AR56" s="117"/>
    </row>
    <row r="57" s="47" customFormat="true" ht="0.75" hidden="false" customHeight="true" outlineLevel="0" collapsed="false">
      <c r="A57" s="233"/>
      <c r="B57" s="233"/>
      <c r="C57" s="233"/>
      <c r="D57" s="233"/>
      <c r="E57" s="233"/>
      <c r="F57" s="233"/>
      <c r="G57" s="233"/>
      <c r="H57" s="233"/>
      <c r="I57" s="233"/>
      <c r="J57" s="233"/>
      <c r="K57" s="233"/>
      <c r="L57" s="493"/>
      <c r="M57" s="499"/>
      <c r="N57" s="499"/>
      <c r="O57" s="42"/>
      <c r="P57" s="155"/>
      <c r="Q57" s="452"/>
      <c r="R57" s="155"/>
      <c r="S57" s="457"/>
      <c r="T57" s="460" t="s">
        <v>269</v>
      </c>
      <c r="U57" s="459"/>
      <c r="V57" s="459"/>
      <c r="W57" s="459"/>
      <c r="X57" s="459"/>
      <c r="Y57" s="459"/>
      <c r="Z57" s="459"/>
      <c r="AA57" s="459"/>
      <c r="AB57" s="459"/>
      <c r="AC57" s="459"/>
      <c r="AD57" s="459"/>
      <c r="AE57" s="459"/>
      <c r="AF57" s="459"/>
      <c r="AG57" s="459"/>
      <c r="AH57" s="459"/>
      <c r="AI57" s="459"/>
      <c r="AJ57" s="459"/>
      <c r="AK57" s="459"/>
      <c r="AL57" s="459"/>
      <c r="AM57" s="459"/>
      <c r="AO57" s="117"/>
      <c r="AP57" s="117" t="str">
        <f aca="false">IF(T57="","",T57)</f>
        <v>Добавить наименование тарифа</v>
      </c>
      <c r="AQ57" s="117"/>
      <c r="AR57" s="117"/>
    </row>
    <row r="58" customFormat="false" ht="11.25" hidden="false" customHeight="true" outlineLevel="0" collapsed="false">
      <c r="M58" s="42"/>
      <c r="N58" s="42"/>
      <c r="O58" s="42"/>
      <c r="P58" s="42"/>
      <c r="Q58" s="42"/>
      <c r="R58" s="42"/>
      <c r="S58" s="42"/>
      <c r="AN58" s="42"/>
      <c r="AO58" s="42"/>
      <c r="AP58" s="42"/>
      <c r="AQ58" s="42"/>
      <c r="AR58" s="42"/>
    </row>
    <row r="59" customFormat="false" ht="27" hidden="false" customHeight="true" outlineLevel="0" collapsed="false">
      <c r="O59" s="42"/>
      <c r="S59" s="412"/>
      <c r="T59" s="491"/>
      <c r="U59" s="491"/>
      <c r="V59" s="491"/>
      <c r="W59" s="491"/>
      <c r="X59" s="491"/>
      <c r="Y59" s="491"/>
      <c r="Z59" s="491"/>
      <c r="AA59" s="491"/>
      <c r="AB59" s="491"/>
      <c r="AC59" s="491"/>
      <c r="AD59" s="491"/>
      <c r="AE59" s="491"/>
      <c r="AF59" s="491"/>
      <c r="AG59" s="491"/>
      <c r="AH59" s="491"/>
      <c r="AI59" s="491"/>
      <c r="AJ59" s="491"/>
      <c r="AK59" s="491"/>
      <c r="AL59" s="491"/>
      <c r="AM59" s="491"/>
    </row>
    <row r="60" customFormat="false" ht="62.25" hidden="false" customHeight="true" outlineLevel="0" collapsed="false">
      <c r="O60" s="42"/>
      <c r="T60" s="491"/>
      <c r="U60" s="491"/>
      <c r="V60" s="491"/>
      <c r="W60" s="491"/>
      <c r="X60" s="491"/>
      <c r="Y60" s="491"/>
      <c r="Z60" s="491"/>
      <c r="AA60" s="491"/>
      <c r="AB60" s="491"/>
      <c r="AC60" s="491"/>
      <c r="AD60" s="491"/>
      <c r="AE60" s="491"/>
      <c r="AF60" s="491"/>
      <c r="AG60" s="491"/>
      <c r="AH60" s="491"/>
      <c r="AI60" s="491"/>
      <c r="AJ60" s="491"/>
      <c r="AK60" s="491"/>
      <c r="AL60" s="491"/>
      <c r="AM60" s="491"/>
    </row>
    <row r="61" customFormat="false" ht="14.25" hidden="false" customHeight="true" outlineLevel="0" collapsed="false">
      <c r="O61" s="42"/>
    </row>
    <row r="62" customFormat="false" ht="18" hidden="false" customHeight="true" outlineLevel="0" collapsed="false">
      <c r="O62" s="42"/>
      <c r="S62" s="412"/>
      <c r="T62" s="491"/>
      <c r="U62" s="491"/>
      <c r="V62" s="491"/>
      <c r="W62" s="491"/>
      <c r="X62" s="491"/>
      <c r="Y62" s="491"/>
      <c r="Z62" s="491"/>
      <c r="AA62" s="491"/>
      <c r="AB62" s="491"/>
      <c r="AC62" s="491"/>
      <c r="AD62" s="491"/>
      <c r="AE62" s="491"/>
      <c r="AF62" s="491"/>
      <c r="AG62" s="491"/>
      <c r="AH62" s="491"/>
      <c r="AI62" s="491"/>
      <c r="AJ62" s="491"/>
      <c r="AK62" s="491"/>
      <c r="AL62" s="491"/>
      <c r="AM62" s="491"/>
    </row>
    <row r="63" customFormat="false" ht="18" hidden="false" customHeight="true" outlineLevel="0" collapsed="false">
      <c r="O63" s="42"/>
      <c r="T63" s="491"/>
      <c r="U63" s="491"/>
      <c r="V63" s="491"/>
      <c r="W63" s="491"/>
      <c r="X63" s="491"/>
      <c r="Y63" s="491"/>
      <c r="Z63" s="491"/>
      <c r="AA63" s="491"/>
      <c r="AB63" s="491"/>
      <c r="AC63" s="491"/>
      <c r="AD63" s="491"/>
      <c r="AE63" s="491"/>
      <c r="AF63" s="491"/>
      <c r="AG63" s="491"/>
      <c r="AH63" s="491"/>
      <c r="AI63" s="491"/>
      <c r="AJ63" s="491"/>
      <c r="AK63" s="491"/>
      <c r="AL63" s="491"/>
      <c r="AM63" s="491"/>
    </row>
    <row r="64" customFormat="false" ht="27.75" hidden="false" customHeight="true" outlineLevel="0" collapsed="false">
      <c r="O64" s="42"/>
      <c r="S64" s="412"/>
      <c r="T64" s="491"/>
      <c r="U64" s="491"/>
      <c r="V64" s="491"/>
      <c r="W64" s="491"/>
      <c r="X64" s="491"/>
      <c r="Y64" s="491"/>
      <c r="Z64" s="491"/>
      <c r="AA64" s="491"/>
      <c r="AB64" s="491"/>
      <c r="AC64" s="491"/>
      <c r="AD64" s="491"/>
      <c r="AE64" s="491"/>
      <c r="AF64" s="491"/>
      <c r="AG64" s="491"/>
      <c r="AH64" s="491"/>
      <c r="AI64" s="491"/>
      <c r="AJ64" s="491"/>
      <c r="AK64" s="491"/>
      <c r="AL64" s="491"/>
      <c r="AM64" s="491"/>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71"/>
    <col collapsed="false" customWidth="true" hidden="false" outlineLevel="0" max="18" min="17" style="414" width="3.71"/>
    <col collapsed="false" customWidth="true" hidden="false" outlineLevel="0" max="19" min="19" style="75" width="12.71"/>
    <col collapsed="false" customWidth="true" hidden="false" outlineLevel="0" max="20" min="20" style="42" width="32"/>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4"/>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4"/>
    <col collapsed="false" customWidth="true" hidden="false" outlineLevel="0" max="31" min="31" style="42" width="24.71"/>
    <col collapsed="false" customWidth="true" hidden="false" outlineLevel="0" max="33" min="32" style="42" width="0.14"/>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7" width="10.57"/>
    <col collapsed="false" customWidth="true" hidden="false" outlineLevel="0" max="42" min="42" style="47" width="11.14"/>
    <col collapsed="false" customWidth="false" hidden="false" outlineLevel="0" max="44" min="43" style="47" width="10.57"/>
  </cols>
  <sheetData>
    <row r="1" customFormat="false" ht="14.25" hidden="true" customHeight="true" outlineLevel="0" collapsed="false"/>
    <row r="2" customFormat="false" ht="21" hidden="true" customHeight="true" outlineLevel="0" collapsed="false">
      <c r="A2" s="415"/>
      <c r="B2" s="415"/>
      <c r="C2" s="415"/>
      <c r="D2" s="415"/>
      <c r="E2" s="416" t="n">
        <v>1</v>
      </c>
      <c r="F2" s="415"/>
      <c r="G2" s="415"/>
      <c r="H2" s="415"/>
      <c r="I2" s="415"/>
      <c r="J2" s="415"/>
      <c r="K2" s="415"/>
      <c r="L2" s="417"/>
      <c r="M2" s="40"/>
      <c r="N2" s="40"/>
      <c r="O2" s="40"/>
      <c r="Q2" s="131"/>
      <c r="R2" s="418"/>
      <c r="S2" s="419" t="e">
        <f aca="false">INDEX(PT_DIFFERENTIATION_NUM_NTAR,MATCH(A2,PT_DIFFERENTIATION_NTAR_ID,0))</f>
        <v>#N/A</v>
      </c>
      <c r="T2" s="420" t="s">
        <v>130</v>
      </c>
      <c r="U2" s="421"/>
      <c r="V2" s="422"/>
      <c r="W2" s="422"/>
      <c r="X2" s="422"/>
      <c r="Y2" s="422"/>
      <c r="Z2" s="422"/>
      <c r="AA2" s="422"/>
      <c r="AB2" s="422"/>
      <c r="AC2" s="422"/>
      <c r="AD2" s="423" t="e">
        <f aca="false">INDEX(PT_DIFFERENTIATION_NTAR,MATCH(A2,PT_DIFFERENTIATION_NTAR_ID,0))</f>
        <v>#N/A</v>
      </c>
      <c r="AE2" s="423"/>
      <c r="AF2" s="423"/>
      <c r="AG2" s="423"/>
      <c r="AH2" s="423"/>
      <c r="AI2" s="423"/>
      <c r="AJ2" s="423"/>
      <c r="AK2" s="423"/>
      <c r="AL2" s="423"/>
      <c r="AM2" s="424" t="s">
        <v>412</v>
      </c>
      <c r="AO2" s="117"/>
      <c r="AP2" s="117" t="str">
        <f aca="false">IF(T2="","",T2)</f>
        <v>Наименование тарифа</v>
      </c>
      <c r="AQ2" s="117"/>
      <c r="AR2" s="117"/>
    </row>
    <row r="3" customFormat="false" ht="21" hidden="true" customHeight="true" outlineLevel="0" collapsed="false">
      <c r="A3" s="415"/>
      <c r="B3" s="415"/>
      <c r="C3" s="415"/>
      <c r="D3" s="415"/>
      <c r="E3" s="416"/>
      <c r="F3" s="416" t="n">
        <v>1</v>
      </c>
      <c r="G3" s="415"/>
      <c r="H3" s="415"/>
      <c r="I3" s="415"/>
      <c r="J3" s="415"/>
      <c r="K3" s="415"/>
      <c r="L3" s="417"/>
      <c r="M3" s="40"/>
      <c r="N3" s="40"/>
      <c r="O3" s="40"/>
      <c r="P3" s="43"/>
      <c r="Q3" s="425"/>
      <c r="R3" s="426"/>
      <c r="S3" s="419" t="e">
        <f aca="false">INDEX(PT_DIFFERENTIATION_NUM_TER,MATCH(B3,PT_DIFFERENTIATION_TER_ID,0))</f>
        <v>#N/A</v>
      </c>
      <c r="T3" s="427" t="s">
        <v>413</v>
      </c>
      <c r="U3" s="421"/>
      <c r="V3" s="422"/>
      <c r="W3" s="422"/>
      <c r="X3" s="422"/>
      <c r="Y3" s="422"/>
      <c r="Z3" s="422"/>
      <c r="AA3" s="422"/>
      <c r="AB3" s="422"/>
      <c r="AC3" s="422"/>
      <c r="AD3" s="423" t="e">
        <f aca="false">INDEX(PT_DIFFERENTIATION_TER,MATCH(B3,PT_DIFFERENTIATION_TER_ID,0))</f>
        <v>#N/A</v>
      </c>
      <c r="AE3" s="423"/>
      <c r="AF3" s="423"/>
      <c r="AG3" s="423"/>
      <c r="AH3" s="423"/>
      <c r="AI3" s="423"/>
      <c r="AJ3" s="423"/>
      <c r="AK3" s="423"/>
      <c r="AL3" s="423"/>
      <c r="AM3" s="424" t="s">
        <v>414</v>
      </c>
      <c r="AO3" s="117"/>
      <c r="AP3" s="117" t="str">
        <f aca="false">IF(T3="","",T3)</f>
        <v>Территория действия тарифа</v>
      </c>
      <c r="AQ3" s="117"/>
      <c r="AR3" s="117"/>
    </row>
    <row r="4" customFormat="false" ht="23.25" hidden="true" customHeight="true" outlineLevel="0" collapsed="false">
      <c r="A4" s="415"/>
      <c r="B4" s="415"/>
      <c r="C4" s="415"/>
      <c r="D4" s="415"/>
      <c r="E4" s="416"/>
      <c r="F4" s="416"/>
      <c r="G4" s="416" t="n">
        <v>1</v>
      </c>
      <c r="H4" s="415"/>
      <c r="I4" s="415"/>
      <c r="J4" s="415"/>
      <c r="K4" s="415"/>
      <c r="L4" s="417"/>
      <c r="M4" s="40"/>
      <c r="N4" s="40"/>
      <c r="O4" s="40"/>
      <c r="P4" s="428"/>
      <c r="Q4" s="425"/>
      <c r="R4" s="426"/>
      <c r="S4" s="419" t="e">
        <f aca="false">INDEX(PT_DIFFERENTIATION_NUM_CS,MATCH(C4,PT_DIFFERENTIATION_CS_ID,0))</f>
        <v>#N/A</v>
      </c>
      <c r="T4" s="429" t="s">
        <v>415</v>
      </c>
      <c r="U4" s="421"/>
      <c r="V4" s="422"/>
      <c r="W4" s="422"/>
      <c r="X4" s="422"/>
      <c r="Y4" s="422"/>
      <c r="Z4" s="422"/>
      <c r="AA4" s="422"/>
      <c r="AB4" s="422"/>
      <c r="AC4" s="422"/>
      <c r="AD4" s="423" t="e">
        <f aca="false">INDEX(PT_DIFFERENTIATION_CS,MATCH(C4,PT_DIFFERENTIATION_CS_ID,0))</f>
        <v>#N/A</v>
      </c>
      <c r="AE4" s="423"/>
      <c r="AF4" s="423"/>
      <c r="AG4" s="423"/>
      <c r="AH4" s="423"/>
      <c r="AI4" s="423"/>
      <c r="AJ4" s="423"/>
      <c r="AK4" s="423"/>
      <c r="AL4" s="423"/>
      <c r="AM4" s="424" t="s">
        <v>416</v>
      </c>
      <c r="AO4" s="117"/>
      <c r="AP4" s="117" t="str">
        <f aca="false">IF(T4="","",T4)</f>
        <v>Наименование системы теплоснабжения</v>
      </c>
      <c r="AQ4" s="117"/>
      <c r="AR4" s="117"/>
    </row>
    <row r="5" customFormat="false" ht="21" hidden="true" customHeight="true" outlineLevel="0" collapsed="false">
      <c r="A5" s="415"/>
      <c r="B5" s="415"/>
      <c r="C5" s="415"/>
      <c r="D5" s="415"/>
      <c r="E5" s="416"/>
      <c r="F5" s="416"/>
      <c r="G5" s="416"/>
      <c r="H5" s="416" t="n">
        <v>1</v>
      </c>
      <c r="I5" s="415"/>
      <c r="J5" s="415"/>
      <c r="K5" s="415"/>
      <c r="L5" s="417"/>
      <c r="M5" s="40"/>
      <c r="N5" s="40"/>
      <c r="O5" s="40"/>
      <c r="P5" s="428"/>
      <c r="Q5" s="425"/>
      <c r="R5" s="426"/>
      <c r="S5" s="419" t="e">
        <f aca="false">INDEX(PT_DIFFERENTIATION_NUM_IST_TE,MATCH(D5,PT_DIFFERENTIATION_IST_TE_ID,0))</f>
        <v>#N/A</v>
      </c>
      <c r="T5" s="430" t="s">
        <v>417</v>
      </c>
      <c r="U5" s="421"/>
      <c r="V5" s="422"/>
      <c r="W5" s="422"/>
      <c r="X5" s="422"/>
      <c r="Y5" s="422"/>
      <c r="Z5" s="422"/>
      <c r="AA5" s="422"/>
      <c r="AB5" s="422"/>
      <c r="AC5" s="422"/>
      <c r="AD5" s="423" t="e">
        <f aca="false">INDEX(PT_DIFFERENTIATION_IST_TE,MATCH(D5,PT_DIFFERENTIATION_IST_TE_ID,0))</f>
        <v>#N/A</v>
      </c>
      <c r="AE5" s="423"/>
      <c r="AF5" s="423"/>
      <c r="AG5" s="423"/>
      <c r="AH5" s="423"/>
      <c r="AI5" s="423"/>
      <c r="AJ5" s="423"/>
      <c r="AK5" s="423"/>
      <c r="AL5" s="423"/>
      <c r="AM5" s="424" t="s">
        <v>418</v>
      </c>
      <c r="AO5" s="117"/>
      <c r="AP5" s="117" t="str">
        <f aca="false">IF(T5="","",T5)</f>
        <v>Источник тепловой энергии</v>
      </c>
      <c r="AQ5" s="117"/>
      <c r="AR5" s="117"/>
    </row>
    <row r="6" customFormat="false" ht="47.25" hidden="true" customHeight="true" outlineLevel="0" collapsed="false">
      <c r="A6" s="415"/>
      <c r="B6" s="415"/>
      <c r="C6" s="415"/>
      <c r="D6" s="415"/>
      <c r="E6" s="416"/>
      <c r="F6" s="416"/>
      <c r="G6" s="416"/>
      <c r="H6" s="416"/>
      <c r="I6" s="431" t="e">
        <f aca="false">S5&amp;".1"</f>
        <v>#N/A</v>
      </c>
      <c r="J6" s="415"/>
      <c r="K6" s="415"/>
      <c r="L6" s="417" t="s">
        <v>419</v>
      </c>
      <c r="M6" s="45"/>
      <c r="P6" s="120" t="n">
        <v>1</v>
      </c>
      <c r="Q6" s="120"/>
      <c r="R6" s="432"/>
      <c r="S6" s="419" t="e">
        <f aca="false">$I6</f>
        <v>#N/A</v>
      </c>
      <c r="T6" s="433" t="s">
        <v>420</v>
      </c>
      <c r="U6" s="421"/>
      <c r="V6" s="434"/>
      <c r="W6" s="434"/>
      <c r="X6" s="434"/>
      <c r="Y6" s="434"/>
      <c r="Z6" s="434"/>
      <c r="AA6" s="434"/>
      <c r="AB6" s="434"/>
      <c r="AC6" s="434"/>
      <c r="AD6" s="434"/>
      <c r="AE6" s="434"/>
      <c r="AF6" s="434"/>
      <c r="AG6" s="434"/>
      <c r="AH6" s="434"/>
      <c r="AI6" s="434"/>
      <c r="AJ6" s="434"/>
      <c r="AK6" s="434"/>
      <c r="AL6" s="434"/>
      <c r="AM6" s="424" t="s">
        <v>421</v>
      </c>
      <c r="AO6" s="117"/>
      <c r="AP6" s="117" t="str">
        <f aca="false">IF(T6="","",T6)</f>
        <v>Схема подключения теплопотребляющей установки к коллектору источника тепловой энергии</v>
      </c>
      <c r="AQ6" s="117"/>
      <c r="AR6" s="117"/>
    </row>
    <row r="7" customFormat="false" ht="21" hidden="true" customHeight="true" outlineLevel="0" collapsed="false">
      <c r="A7" s="415"/>
      <c r="B7" s="415"/>
      <c r="C7" s="415"/>
      <c r="D7" s="415"/>
      <c r="E7" s="416"/>
      <c r="F7" s="416"/>
      <c r="G7" s="416"/>
      <c r="H7" s="416"/>
      <c r="I7" s="431"/>
      <c r="J7" s="431" t="e">
        <f aca="false">I6&amp;".1"</f>
        <v>#N/A</v>
      </c>
      <c r="K7" s="415"/>
      <c r="L7" s="417" t="s">
        <v>422</v>
      </c>
      <c r="M7" s="45"/>
      <c r="N7" s="45"/>
      <c r="P7" s="120"/>
      <c r="Q7" s="120" t="n">
        <v>1</v>
      </c>
      <c r="R7" s="435"/>
      <c r="S7" s="419" t="e">
        <f aca="false">$J7</f>
        <v>#N/A</v>
      </c>
      <c r="T7" s="436" t="s">
        <v>423</v>
      </c>
      <c r="U7" s="421"/>
      <c r="V7" s="434"/>
      <c r="W7" s="434"/>
      <c r="X7" s="434"/>
      <c r="Y7" s="434"/>
      <c r="Z7" s="434"/>
      <c r="AA7" s="434"/>
      <c r="AB7" s="434"/>
      <c r="AC7" s="434"/>
      <c r="AD7" s="434"/>
      <c r="AE7" s="434"/>
      <c r="AF7" s="434"/>
      <c r="AG7" s="434"/>
      <c r="AH7" s="434"/>
      <c r="AI7" s="434"/>
      <c r="AJ7" s="434"/>
      <c r="AK7" s="434"/>
      <c r="AL7" s="434"/>
      <c r="AM7" s="424" t="s">
        <v>424</v>
      </c>
      <c r="AO7" s="117"/>
      <c r="AP7" s="117" t="str">
        <f aca="false">IF(T7="","",T7)</f>
        <v>Группа потребителей</v>
      </c>
      <c r="AQ7" s="117"/>
      <c r="AR7" s="117"/>
    </row>
    <row r="8" customFormat="false" ht="21" hidden="true" customHeight="true" outlineLevel="0" collapsed="false">
      <c r="A8" s="415"/>
      <c r="B8" s="415"/>
      <c r="C8" s="415"/>
      <c r="D8" s="415"/>
      <c r="E8" s="416"/>
      <c r="F8" s="416"/>
      <c r="G8" s="416"/>
      <c r="H8" s="416"/>
      <c r="I8" s="431"/>
      <c r="J8" s="431"/>
      <c r="K8" s="431" t="e">
        <f aca="false">J7&amp;".1"</f>
        <v>#N/A</v>
      </c>
      <c r="L8" s="417" t="s">
        <v>425</v>
      </c>
      <c r="M8" s="45"/>
      <c r="N8" s="45"/>
      <c r="O8" s="45"/>
      <c r="P8" s="120"/>
      <c r="Q8" s="120"/>
      <c r="R8" s="435" t="n">
        <v>1</v>
      </c>
      <c r="S8" s="419" t="e">
        <f aca="false">$K8</f>
        <v>#N/A</v>
      </c>
      <c r="T8" s="437"/>
      <c r="U8" s="421"/>
      <c r="V8" s="439"/>
      <c r="W8" s="438"/>
      <c r="X8" s="439"/>
      <c r="Y8" s="500"/>
      <c r="Z8" s="441"/>
      <c r="AA8" s="203" t="s">
        <v>63</v>
      </c>
      <c r="AB8" s="441"/>
      <c r="AC8" s="203" t="s">
        <v>63</v>
      </c>
      <c r="AD8" s="439"/>
      <c r="AE8" s="438"/>
      <c r="AF8" s="439"/>
      <c r="AG8" s="500"/>
      <c r="AH8" s="441"/>
      <c r="AI8" s="203" t="s">
        <v>63</v>
      </c>
      <c r="AJ8" s="441"/>
      <c r="AK8" s="203" t="s">
        <v>63</v>
      </c>
      <c r="AL8" s="439"/>
      <c r="AM8" s="442" t="s">
        <v>426</v>
      </c>
      <c r="AN8" s="47" t="e">
        <f aca="false">strcheckdate(V9:AL9)</f>
        <v>#NAME?</v>
      </c>
      <c r="AO8" s="117"/>
      <c r="AP8" s="117" t="str">
        <f aca="false">IF(T8="","",T8)</f>
        <v/>
      </c>
      <c r="AQ8" s="117"/>
      <c r="AR8" s="117"/>
    </row>
    <row r="9" customFormat="false" ht="0.75" hidden="true" customHeight="true" outlineLevel="0" collapsed="false">
      <c r="A9" s="415"/>
      <c r="B9" s="415"/>
      <c r="C9" s="415"/>
      <c r="D9" s="415"/>
      <c r="E9" s="416"/>
      <c r="F9" s="416"/>
      <c r="G9" s="416"/>
      <c r="H9" s="416"/>
      <c r="I9" s="431"/>
      <c r="J9" s="431"/>
      <c r="K9" s="431"/>
      <c r="L9" s="417"/>
      <c r="M9" s="45"/>
      <c r="N9" s="45"/>
      <c r="O9" s="45"/>
      <c r="P9" s="120"/>
      <c r="Q9" s="120"/>
      <c r="R9" s="435"/>
      <c r="S9" s="396"/>
      <c r="T9" s="421"/>
      <c r="U9" s="421"/>
      <c r="V9" s="439"/>
      <c r="W9" s="439"/>
      <c r="X9" s="439"/>
      <c r="Y9" s="443" t="str">
        <f aca="false">Z8&amp;"-"&amp;AB8</f>
        <v>-</v>
      </c>
      <c r="Z9" s="441"/>
      <c r="AA9" s="203"/>
      <c r="AB9" s="441"/>
      <c r="AC9" s="203"/>
      <c r="AD9" s="439"/>
      <c r="AE9" s="439"/>
      <c r="AF9" s="439"/>
      <c r="AG9" s="443" t="str">
        <f aca="false">AH8&amp;"-"&amp;AJ8</f>
        <v>-</v>
      </c>
      <c r="AH9" s="441"/>
      <c r="AI9" s="203"/>
      <c r="AJ9" s="441"/>
      <c r="AK9" s="203"/>
      <c r="AL9" s="439"/>
      <c r="AM9" s="442"/>
      <c r="AO9" s="117"/>
      <c r="AP9" s="117" t="str">
        <f aca="false">IF(T9="","",T9)</f>
        <v/>
      </c>
      <c r="AQ9" s="117"/>
      <c r="AR9" s="117"/>
    </row>
    <row r="10" customFormat="false" ht="15" hidden="true" customHeight="true" outlineLevel="0" collapsed="false">
      <c r="A10" s="415"/>
      <c r="B10" s="415"/>
      <c r="C10" s="415"/>
      <c r="D10" s="415"/>
      <c r="E10" s="416"/>
      <c r="F10" s="416"/>
      <c r="G10" s="416"/>
      <c r="H10" s="416"/>
      <c r="I10" s="431"/>
      <c r="J10" s="431"/>
      <c r="K10" s="415"/>
      <c r="L10" s="417"/>
      <c r="M10" s="45"/>
      <c r="N10" s="45"/>
      <c r="P10" s="120"/>
      <c r="Q10" s="120"/>
      <c r="R10" s="432"/>
      <c r="S10" s="444"/>
      <c r="T10" s="445" t="s">
        <v>427</v>
      </c>
      <c r="U10" s="193"/>
      <c r="V10" s="193"/>
      <c r="W10" s="193"/>
      <c r="X10" s="193"/>
      <c r="Y10" s="193"/>
      <c r="Z10" s="193"/>
      <c r="AA10" s="193"/>
      <c r="AB10" s="193"/>
      <c r="AC10" s="193"/>
      <c r="AD10" s="193"/>
      <c r="AE10" s="193"/>
      <c r="AF10" s="193"/>
      <c r="AG10" s="193"/>
      <c r="AH10" s="193"/>
      <c r="AI10" s="193"/>
      <c r="AJ10" s="193"/>
      <c r="AK10" s="193"/>
      <c r="AL10" s="446"/>
      <c r="AM10" s="442"/>
      <c r="AO10" s="117"/>
      <c r="AP10" s="117" t="str">
        <f aca="false">IF(T10="","",T10)</f>
        <v>Добавить вид теплоносителя (параметры теплоносителя)</v>
      </c>
      <c r="AQ10" s="117"/>
      <c r="AR10" s="117"/>
    </row>
    <row r="11" customFormat="false" ht="15" hidden="true" customHeight="true" outlineLevel="0" collapsed="false">
      <c r="A11" s="415"/>
      <c r="B11" s="415"/>
      <c r="C11" s="415"/>
      <c r="D11" s="415"/>
      <c r="E11" s="416"/>
      <c r="F11" s="416"/>
      <c r="G11" s="416"/>
      <c r="H11" s="416"/>
      <c r="I11" s="431"/>
      <c r="J11" s="415"/>
      <c r="K11" s="415"/>
      <c r="L11" s="417"/>
      <c r="M11" s="45"/>
      <c r="P11" s="120"/>
      <c r="Q11" s="120"/>
      <c r="R11" s="432"/>
      <c r="S11" s="444"/>
      <c r="T11" s="447" t="s">
        <v>428</v>
      </c>
      <c r="U11" s="193"/>
      <c r="V11" s="193"/>
      <c r="W11" s="193"/>
      <c r="X11" s="193"/>
      <c r="Y11" s="193"/>
      <c r="Z11" s="193"/>
      <c r="AA11" s="193"/>
      <c r="AB11" s="193"/>
      <c r="AC11" s="448"/>
      <c r="AD11" s="193"/>
      <c r="AE11" s="193"/>
      <c r="AF11" s="193"/>
      <c r="AG11" s="193"/>
      <c r="AH11" s="193"/>
      <c r="AI11" s="193"/>
      <c r="AJ11" s="193"/>
      <c r="AK11" s="448"/>
      <c r="AL11" s="193"/>
      <c r="AM11" s="449"/>
      <c r="AO11" s="117"/>
      <c r="AP11" s="117" t="str">
        <f aca="false">IF(T11="","",T11)</f>
        <v>Добавить группу потребителей</v>
      </c>
      <c r="AQ11" s="117"/>
      <c r="AR11" s="117"/>
    </row>
    <row r="12" customFormat="false" ht="14.25" hidden="true" customHeight="true" outlineLevel="0" collapsed="false">
      <c r="A12" s="415"/>
      <c r="B12" s="415"/>
      <c r="C12" s="415"/>
      <c r="D12" s="415"/>
      <c r="E12" s="416"/>
      <c r="F12" s="416"/>
      <c r="G12" s="416"/>
      <c r="H12" s="416"/>
      <c r="I12" s="415"/>
      <c r="J12" s="415"/>
      <c r="K12" s="415"/>
      <c r="L12" s="417"/>
      <c r="M12" s="40"/>
      <c r="N12" s="40"/>
      <c r="O12" s="45"/>
      <c r="P12" s="131"/>
      <c r="Q12" s="450"/>
      <c r="R12" s="418"/>
      <c r="S12" s="444"/>
      <c r="T12" s="451" t="s">
        <v>429</v>
      </c>
      <c r="U12" s="193"/>
      <c r="V12" s="193"/>
      <c r="W12" s="193"/>
      <c r="X12" s="193"/>
      <c r="Y12" s="193"/>
      <c r="Z12" s="193"/>
      <c r="AA12" s="193"/>
      <c r="AB12" s="193"/>
      <c r="AC12" s="448"/>
      <c r="AD12" s="193"/>
      <c r="AE12" s="193"/>
      <c r="AF12" s="193"/>
      <c r="AG12" s="193"/>
      <c r="AH12" s="193"/>
      <c r="AI12" s="193"/>
      <c r="AJ12" s="193"/>
      <c r="AK12" s="448"/>
      <c r="AL12" s="193"/>
      <c r="AM12" s="449"/>
      <c r="AO12" s="117"/>
      <c r="AP12" s="117" t="str">
        <f aca="false">IF(T12="","",T12)</f>
        <v>Добавить схему подключения</v>
      </c>
      <c r="AQ12" s="117"/>
      <c r="AR12" s="117"/>
    </row>
    <row r="13" s="47" customFormat="true" ht="0.75" hidden="true" customHeight="true" outlineLevel="0" collapsed="false">
      <c r="A13" s="121"/>
      <c r="B13" s="121"/>
      <c r="C13" s="121"/>
      <c r="D13" s="121"/>
      <c r="E13" s="416"/>
      <c r="F13" s="416"/>
      <c r="G13" s="416"/>
      <c r="H13" s="121"/>
      <c r="I13" s="121"/>
      <c r="J13" s="121"/>
      <c r="K13" s="121"/>
      <c r="L13" s="191"/>
      <c r="M13" s="46"/>
      <c r="N13" s="46"/>
      <c r="P13" s="155"/>
      <c r="Q13" s="452"/>
      <c r="R13" s="155"/>
      <c r="S13" s="453"/>
      <c r="T13" s="454" t="s">
        <v>430</v>
      </c>
      <c r="U13" s="455"/>
      <c r="V13" s="455"/>
      <c r="W13" s="455"/>
      <c r="X13" s="455"/>
      <c r="Y13" s="455"/>
      <c r="Z13" s="455"/>
      <c r="AA13" s="455"/>
      <c r="AB13" s="455"/>
      <c r="AC13" s="455"/>
      <c r="AD13" s="455"/>
      <c r="AE13" s="455"/>
      <c r="AF13" s="455"/>
      <c r="AG13" s="455"/>
      <c r="AH13" s="455"/>
      <c r="AI13" s="455"/>
      <c r="AJ13" s="455"/>
      <c r="AK13" s="455"/>
      <c r="AL13" s="455"/>
      <c r="AM13" s="455"/>
      <c r="AO13" s="117"/>
      <c r="AP13" s="117" t="str">
        <f aca="false">IF(T13="","",T13)</f>
        <v>Добавить источник для дифференциации</v>
      </c>
      <c r="AQ13" s="117"/>
      <c r="AR13" s="117"/>
    </row>
    <row r="14" s="47" customFormat="true" ht="0.75" hidden="true" customHeight="true" outlineLevel="0" collapsed="false">
      <c r="A14" s="121"/>
      <c r="B14" s="121"/>
      <c r="C14" s="121"/>
      <c r="D14" s="121"/>
      <c r="E14" s="416"/>
      <c r="F14" s="416"/>
      <c r="G14" s="121"/>
      <c r="H14" s="121"/>
      <c r="I14" s="121"/>
      <c r="J14" s="121"/>
      <c r="K14" s="121"/>
      <c r="L14" s="191"/>
      <c r="M14" s="456"/>
      <c r="N14" s="456"/>
      <c r="P14" s="155"/>
      <c r="Q14" s="452"/>
      <c r="R14" s="155"/>
      <c r="S14" s="457"/>
      <c r="T14" s="458" t="s">
        <v>261</v>
      </c>
      <c r="U14" s="459"/>
      <c r="V14" s="459"/>
      <c r="W14" s="459"/>
      <c r="X14" s="459"/>
      <c r="Y14" s="459"/>
      <c r="Z14" s="459"/>
      <c r="AA14" s="459"/>
      <c r="AB14" s="459"/>
      <c r="AC14" s="459"/>
      <c r="AD14" s="459"/>
      <c r="AE14" s="459"/>
      <c r="AF14" s="459"/>
      <c r="AG14" s="459"/>
      <c r="AH14" s="459"/>
      <c r="AI14" s="459"/>
      <c r="AJ14" s="459"/>
      <c r="AK14" s="459"/>
      <c r="AL14" s="459"/>
      <c r="AM14" s="459"/>
      <c r="AO14" s="117"/>
      <c r="AP14" s="117" t="str">
        <f aca="false">IF(T14="","",T14)</f>
        <v>Добавить централизованную систему для дифференциации</v>
      </c>
      <c r="AQ14" s="117"/>
      <c r="AR14" s="117"/>
    </row>
    <row r="15" s="47" customFormat="true" ht="0.75" hidden="true" customHeight="true" outlineLevel="0" collapsed="false">
      <c r="A15" s="121"/>
      <c r="B15" s="121"/>
      <c r="C15" s="121"/>
      <c r="D15" s="121"/>
      <c r="E15" s="416"/>
      <c r="F15" s="121"/>
      <c r="G15" s="121"/>
      <c r="H15" s="121"/>
      <c r="I15" s="121"/>
      <c r="J15" s="121"/>
      <c r="K15" s="121"/>
      <c r="L15" s="191"/>
      <c r="M15" s="456"/>
      <c r="N15" s="456"/>
      <c r="P15" s="155"/>
      <c r="Q15" s="452"/>
      <c r="R15" s="155"/>
      <c r="S15" s="457"/>
      <c r="T15" s="460" t="s">
        <v>268</v>
      </c>
      <c r="U15" s="459"/>
      <c r="V15" s="459"/>
      <c r="W15" s="459"/>
      <c r="X15" s="459"/>
      <c r="Y15" s="459"/>
      <c r="Z15" s="459"/>
      <c r="AA15" s="459"/>
      <c r="AB15" s="459"/>
      <c r="AC15" s="459"/>
      <c r="AD15" s="459"/>
      <c r="AE15" s="459"/>
      <c r="AF15" s="459"/>
      <c r="AG15" s="459"/>
      <c r="AH15" s="459"/>
      <c r="AI15" s="459"/>
      <c r="AJ15" s="459"/>
      <c r="AK15" s="459"/>
      <c r="AL15" s="459"/>
      <c r="AM15" s="459"/>
      <c r="AO15" s="117"/>
      <c r="AP15" s="117" t="str">
        <f aca="false">IF(T15="","",T15)</f>
        <v>Добавить территорию для дифференциации</v>
      </c>
      <c r="AQ15" s="117"/>
      <c r="AR15" s="117"/>
    </row>
    <row r="16" customFormat="false" ht="14.25" hidden="true" customHeight="true" outlineLevel="0" collapsed="false"/>
    <row r="17" customFormat="false" ht="14.25" hidden="true" customHeight="true" outlineLevel="0" collapsed="false">
      <c r="AD17" s="461"/>
      <c r="AE17" s="461"/>
      <c r="AF17" s="461"/>
      <c r="AG17" s="462"/>
      <c r="AH17" s="463"/>
      <c r="AI17" s="464" t="s">
        <v>63</v>
      </c>
      <c r="AJ17" s="463"/>
      <c r="AK17" s="464" t="s">
        <v>63</v>
      </c>
    </row>
    <row r="18" customFormat="false" ht="14.25" hidden="true" customHeight="true" outlineLevel="0" collapsed="false">
      <c r="AD18" s="461"/>
      <c r="AE18" s="461"/>
      <c r="AF18" s="461"/>
      <c r="AG18" s="443" t="str">
        <f aca="false">AH17&amp;"-"&amp;AJ17</f>
        <v>-</v>
      </c>
      <c r="AH18" s="463"/>
      <c r="AI18" s="463"/>
      <c r="AJ18" s="463"/>
      <c r="AK18" s="463"/>
    </row>
    <row r="19" customFormat="false" ht="14.25" hidden="true" customHeight="true" outlineLevel="0" collapsed="false"/>
    <row r="20" s="45" customFormat="true" ht="22.5" hidden="true" customHeight="true" outlineLevel="0" collapsed="false">
      <c r="L20" s="44"/>
      <c r="M20" s="51"/>
      <c r="N20" s="51"/>
      <c r="O20" s="465" t="s">
        <v>431</v>
      </c>
      <c r="P20" s="51"/>
      <c r="Q20" s="466"/>
      <c r="R20" s="466"/>
      <c r="S20" s="40"/>
      <c r="Z20" s="465"/>
      <c r="AB20" s="465"/>
      <c r="AH20" s="465"/>
      <c r="AJ20" s="465"/>
      <c r="AN20" s="47"/>
      <c r="AO20" s="47"/>
      <c r="AP20" s="47"/>
      <c r="AQ20" s="47"/>
      <c r="AR20" s="47"/>
    </row>
    <row r="21" s="45" customFormat="true" ht="14.25" hidden="true" customHeight="true" outlineLevel="0" collapsed="false">
      <c r="L21" s="44"/>
      <c r="M21" s="51"/>
      <c r="N21" s="51"/>
      <c r="O21" s="51"/>
      <c r="P21" s="51"/>
      <c r="Q21" s="466"/>
      <c r="R21" s="466"/>
      <c r="S21" s="40"/>
      <c r="AN21" s="47"/>
      <c r="AO21" s="47"/>
      <c r="AP21" s="47"/>
      <c r="AQ21" s="47"/>
      <c r="AR21" s="47"/>
    </row>
    <row r="22" s="45" customFormat="true" ht="33.75" hidden="true" customHeight="true" outlineLevel="0" collapsed="false">
      <c r="L22" s="44"/>
      <c r="M22" s="51"/>
      <c r="N22" s="51"/>
      <c r="O22" s="417" t="s">
        <v>432</v>
      </c>
      <c r="P22" s="51"/>
      <c r="Q22" s="466"/>
      <c r="R22" s="466"/>
      <c r="S22" s="40"/>
      <c r="T22" s="45" t="s">
        <v>433</v>
      </c>
      <c r="AA22" s="139" t="s">
        <v>434</v>
      </c>
      <c r="AC22" s="139" t="s">
        <v>435</v>
      </c>
      <c r="AD22" s="45" t="s">
        <v>433</v>
      </c>
      <c r="AI22" s="139" t="s">
        <v>436</v>
      </c>
      <c r="AK22" s="139" t="s">
        <v>435</v>
      </c>
      <c r="AN22" s="47"/>
      <c r="AO22" s="47"/>
      <c r="AP22" s="47"/>
      <c r="AQ22" s="47"/>
      <c r="AR22" s="47"/>
    </row>
    <row r="23" customFormat="false" ht="14.25" hidden="true" customHeight="true" outlineLevel="0" collapsed="false">
      <c r="O23" s="417"/>
    </row>
    <row r="24" customFormat="false" ht="14.25" hidden="true" customHeight="true" outlineLevel="0" collapsed="false">
      <c r="O24" s="417"/>
    </row>
    <row r="25" customFormat="false" ht="14.25" hidden="false" customHeight="true" outlineLevel="0" collapsed="false">
      <c r="Q25" s="467"/>
      <c r="R25" s="467"/>
      <c r="S25" s="468"/>
      <c r="T25" s="79"/>
      <c r="U25" s="79"/>
    </row>
    <row r="26" customFormat="false" ht="27.75" hidden="false" customHeight="true" outlineLevel="0" collapsed="false">
      <c r="Q26" s="467"/>
      <c r="R26" s="467"/>
      <c r="S26" s="212"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
      <c r="U26" s="212"/>
      <c r="V26" s="212"/>
      <c r="W26" s="212"/>
      <c r="X26" s="212"/>
      <c r="Y26" s="212"/>
      <c r="Z26" s="212"/>
      <c r="AA26" s="212"/>
      <c r="AB26" s="212"/>
      <c r="AC26" s="212"/>
      <c r="AD26" s="212"/>
      <c r="AE26" s="212"/>
      <c r="AF26" s="212"/>
      <c r="AG26" s="212"/>
      <c r="AH26" s="212"/>
      <c r="AI26" s="212"/>
      <c r="AJ26" s="212"/>
      <c r="AK26" s="214"/>
    </row>
    <row r="27" customFormat="false" ht="14.25" hidden="false" customHeight="true" outlineLevel="0" collapsed="false">
      <c r="Q27" s="467"/>
      <c r="R27" s="467"/>
      <c r="S27" s="265" t="str">
        <f aca="false">IF(org=0,"Не определено",org)</f>
        <v>ООО "Газпром теплоэнерго Ярославль"</v>
      </c>
      <c r="T27" s="265"/>
      <c r="U27" s="265"/>
      <c r="V27" s="265"/>
      <c r="W27" s="265"/>
      <c r="X27" s="265"/>
      <c r="Y27" s="265"/>
      <c r="Z27" s="265"/>
      <c r="AA27" s="265"/>
      <c r="AB27" s="265"/>
      <c r="AC27" s="265"/>
      <c r="AD27" s="265"/>
      <c r="AE27" s="265"/>
      <c r="AF27" s="265"/>
      <c r="AG27" s="265"/>
      <c r="AH27" s="265"/>
      <c r="AI27" s="265"/>
      <c r="AJ27" s="265"/>
      <c r="AK27" s="214"/>
    </row>
    <row r="28" customFormat="false" ht="14.25" hidden="false" customHeight="true" outlineLevel="0" collapsed="false">
      <c r="Q28" s="467"/>
      <c r="R28" s="467"/>
      <c r="S28" s="468"/>
      <c r="T28" s="79"/>
      <c r="U28" s="79"/>
      <c r="V28" s="469"/>
      <c r="W28" s="469"/>
      <c r="X28" s="469"/>
      <c r="Y28" s="469"/>
      <c r="Z28" s="469"/>
      <c r="AA28" s="469"/>
      <c r="AB28" s="469"/>
      <c r="AC28" s="469"/>
      <c r="AD28" s="469"/>
      <c r="AE28" s="469"/>
      <c r="AF28" s="469"/>
      <c r="AG28" s="469"/>
      <c r="AH28" s="469"/>
      <c r="AI28" s="469"/>
      <c r="AJ28" s="469"/>
      <c r="AK28" s="469"/>
    </row>
    <row r="29" s="174" customFormat="true" ht="25.5" hidden="false" customHeight="true" outlineLevel="0" collapsed="false">
      <c r="A29" s="139"/>
      <c r="B29" s="139"/>
      <c r="C29" s="139"/>
      <c r="D29" s="139"/>
      <c r="E29" s="139"/>
      <c r="F29" s="139"/>
      <c r="G29" s="139"/>
      <c r="H29" s="139"/>
      <c r="I29" s="139"/>
      <c r="J29" s="139"/>
      <c r="K29" s="139"/>
      <c r="L29" s="417"/>
      <c r="M29" s="139"/>
      <c r="N29" s="139"/>
      <c r="O29" s="139"/>
      <c r="S29" s="470" t="s">
        <v>37</v>
      </c>
      <c r="T29" s="470"/>
      <c r="U29" s="471"/>
      <c r="V29" s="472" t="str">
        <f aca="false">IF(TITLE_NAME_OR_PR_CHANGE="",IF(TITLE_NAME_OR_PR="","",TITLE_NAME_OR_PR),TITLE_NAME_OR_PR_CHANGE)</f>
        <v>Министерство тарифного регулирования Ярославской области</v>
      </c>
      <c r="W29" s="472"/>
      <c r="X29" s="472"/>
      <c r="Y29" s="472"/>
      <c r="Z29" s="472"/>
      <c r="AA29" s="472"/>
      <c r="AB29" s="472"/>
      <c r="AC29" s="42"/>
      <c r="AD29" s="472" t="str">
        <f aca="false">IF(TITLE_NAME_OR_PR_CHANGE="",IF(TITLE_NAME_OR_PR="","",TITLE_NAME_OR_PR),TITLE_NAME_OR_PR_CHANGE)</f>
        <v>Министерство тарифного регулирования Ярославской области</v>
      </c>
      <c r="AE29" s="472"/>
      <c r="AF29" s="472"/>
      <c r="AG29" s="472"/>
      <c r="AH29" s="472"/>
      <c r="AI29" s="472"/>
      <c r="AJ29" s="472"/>
      <c r="AK29" s="42"/>
      <c r="AL29" s="42"/>
      <c r="AM29" s="473"/>
      <c r="AN29" s="117"/>
      <c r="AO29" s="117"/>
      <c r="AP29" s="117"/>
      <c r="AQ29" s="117"/>
      <c r="AR29" s="117"/>
    </row>
    <row r="30" s="174" customFormat="true" ht="18.75" hidden="false" customHeight="true" outlineLevel="0" collapsed="false">
      <c r="A30" s="139"/>
      <c r="B30" s="139"/>
      <c r="C30" s="139"/>
      <c r="D30" s="139"/>
      <c r="E30" s="139"/>
      <c r="F30" s="139"/>
      <c r="G30" s="139"/>
      <c r="H30" s="139"/>
      <c r="I30" s="139"/>
      <c r="J30" s="139"/>
      <c r="K30" s="139"/>
      <c r="L30" s="417"/>
      <c r="M30" s="139"/>
      <c r="N30" s="139"/>
      <c r="O30" s="139"/>
      <c r="S30" s="470" t="s">
        <v>437</v>
      </c>
      <c r="T30" s="470"/>
      <c r="U30" s="471"/>
      <c r="V30" s="474" t="str">
        <f aca="false">IF(TITLE_DATE_PR_CHANGE="",IF(TITLE_DATE_PR="","",TITLE_DATE_PR),TITLE_DATE_PR_CHANGE)</f>
        <v>45279.46460648148</v>
      </c>
      <c r="W30" s="474"/>
      <c r="X30" s="474"/>
      <c r="Y30" s="474"/>
      <c r="Z30" s="474"/>
      <c r="AA30" s="474"/>
      <c r="AB30" s="474"/>
      <c r="AC30" s="42"/>
      <c r="AD30" s="474" t="str">
        <f aca="false">IF(TITLE_DATE_PR_CHANGE="",IF(TITLE_DATE_PR="","",TITLE_DATE_PR),TITLE_DATE_PR_CHANGE)</f>
        <v>45279.46460648148</v>
      </c>
      <c r="AE30" s="474"/>
      <c r="AF30" s="474"/>
      <c r="AG30" s="474"/>
      <c r="AH30" s="474"/>
      <c r="AI30" s="474"/>
      <c r="AJ30" s="474"/>
      <c r="AK30" s="42"/>
      <c r="AL30" s="42"/>
      <c r="AM30" s="473"/>
      <c r="AN30" s="117"/>
      <c r="AO30" s="117"/>
      <c r="AP30" s="117"/>
      <c r="AQ30" s="117"/>
      <c r="AR30" s="117"/>
    </row>
    <row r="31" s="174" customFormat="true" ht="18.75" hidden="false" customHeight="true" outlineLevel="0" collapsed="false">
      <c r="A31" s="139"/>
      <c r="B31" s="139"/>
      <c r="C31" s="139"/>
      <c r="D31" s="139"/>
      <c r="E31" s="139"/>
      <c r="F31" s="139"/>
      <c r="G31" s="139"/>
      <c r="H31" s="139"/>
      <c r="I31" s="139"/>
      <c r="J31" s="139"/>
      <c r="K31" s="139"/>
      <c r="L31" s="417"/>
      <c r="M31" s="139"/>
      <c r="N31" s="139"/>
      <c r="O31" s="139"/>
      <c r="S31" s="470" t="s">
        <v>438</v>
      </c>
      <c r="T31" s="470"/>
      <c r="U31" s="471"/>
      <c r="V31" s="472" t="str">
        <f aca="false">IF(TITLE_NUMBER_PR_CHANGE="",IF(TITLE_NUMBER_PR="","",TITLE_NUMBER_PR),TITLE_NUMBER_PR_CHANGE)</f>
        <v>403-гвс, 404-гвс, 406-гвс</v>
      </c>
      <c r="W31" s="472"/>
      <c r="X31" s="472"/>
      <c r="Y31" s="472"/>
      <c r="Z31" s="472"/>
      <c r="AA31" s="472"/>
      <c r="AB31" s="472"/>
      <c r="AC31" s="42"/>
      <c r="AD31" s="472" t="str">
        <f aca="false">IF(TITLE_NUMBER_PR_CHANGE="",IF(TITLE_NUMBER_PR="","",TITLE_NUMBER_PR),TITLE_NUMBER_PR_CHANGE)</f>
        <v>403-гвс, 404-гвс, 406-гвс</v>
      </c>
      <c r="AE31" s="472"/>
      <c r="AF31" s="472"/>
      <c r="AG31" s="472"/>
      <c r="AH31" s="472"/>
      <c r="AI31" s="472"/>
      <c r="AJ31" s="472"/>
      <c r="AK31" s="42"/>
      <c r="AL31" s="42"/>
      <c r="AM31" s="473"/>
      <c r="AN31" s="117"/>
      <c r="AO31" s="117"/>
      <c r="AP31" s="117"/>
      <c r="AQ31" s="117"/>
      <c r="AR31" s="117"/>
    </row>
    <row r="32" s="174" customFormat="true" ht="18.75" hidden="false" customHeight="true" outlineLevel="0" collapsed="false">
      <c r="A32" s="139"/>
      <c r="B32" s="139"/>
      <c r="C32" s="139"/>
      <c r="D32" s="139"/>
      <c r="E32" s="139"/>
      <c r="F32" s="139"/>
      <c r="G32" s="139"/>
      <c r="H32" s="139"/>
      <c r="I32" s="139"/>
      <c r="J32" s="139"/>
      <c r="K32" s="139"/>
      <c r="L32" s="417"/>
      <c r="M32" s="139"/>
      <c r="N32" s="139"/>
      <c r="O32" s="139"/>
      <c r="S32" s="470" t="s">
        <v>39</v>
      </c>
      <c r="T32" s="470"/>
      <c r="U32" s="471"/>
      <c r="V32" s="472" t="str">
        <f aca="false">IF(TITLE_IST_PUB_CHANGE="",IF(TITLE_IST_PUB="","",TITLE_IST_PUB),TITLE_IST_PUB_CHANGE)</f>
        <v>официальный интернет- портал правовой информации www.pravo.gov.ru</v>
      </c>
      <c r="W32" s="472"/>
      <c r="X32" s="472"/>
      <c r="Y32" s="472"/>
      <c r="Z32" s="472"/>
      <c r="AA32" s="472"/>
      <c r="AB32" s="472"/>
      <c r="AC32" s="42"/>
      <c r="AD32" s="472" t="str">
        <f aca="false">IF(TITLE_IST_PUB_CHANGE="",IF(TITLE_IST_PUB="","",TITLE_IST_PUB),TITLE_IST_PUB_CHANGE)</f>
        <v>официальный интернет- портал правовой информации www.pravo.gov.ru</v>
      </c>
      <c r="AE32" s="472"/>
      <c r="AF32" s="472"/>
      <c r="AG32" s="472"/>
      <c r="AH32" s="472"/>
      <c r="AI32" s="472"/>
      <c r="AJ32" s="472"/>
      <c r="AK32" s="42"/>
      <c r="AL32" s="42"/>
      <c r="AM32" s="473"/>
      <c r="AN32" s="117"/>
      <c r="AO32" s="117"/>
      <c r="AP32" s="117"/>
      <c r="AQ32" s="117"/>
      <c r="AR32" s="117"/>
    </row>
    <row r="33" customFormat="false" ht="14.25" hidden="true" customHeight="true" outlineLevel="0" collapsed="false">
      <c r="Q33" s="467"/>
      <c r="R33" s="467"/>
      <c r="S33" s="468"/>
      <c r="T33" s="79"/>
      <c r="U33" s="79"/>
      <c r="V33" s="469"/>
      <c r="W33" s="469"/>
      <c r="X33" s="469"/>
      <c r="Y33" s="469"/>
      <c r="Z33" s="469"/>
      <c r="AA33" s="469"/>
      <c r="AB33" s="469"/>
      <c r="AC33" s="469"/>
      <c r="AD33" s="469"/>
      <c r="AE33" s="469"/>
      <c r="AF33" s="469"/>
      <c r="AG33" s="469"/>
      <c r="AH33" s="469"/>
      <c r="AI33" s="469"/>
      <c r="AJ33" s="469"/>
      <c r="AK33" s="469"/>
    </row>
    <row r="34" s="174" customFormat="true" ht="18.75" hidden="true" customHeight="true" outlineLevel="0" collapsed="false">
      <c r="A34" s="139"/>
      <c r="B34" s="139"/>
      <c r="C34" s="139"/>
      <c r="D34" s="139"/>
      <c r="E34" s="139"/>
      <c r="F34" s="139"/>
      <c r="G34" s="139"/>
      <c r="H34" s="139"/>
      <c r="I34" s="139"/>
      <c r="J34" s="139"/>
      <c r="K34" s="139"/>
      <c r="L34" s="417"/>
      <c r="M34" s="139"/>
      <c r="N34" s="139"/>
      <c r="O34" s="139"/>
      <c r="S34" s="470" t="s">
        <v>439</v>
      </c>
      <c r="T34" s="470"/>
      <c r="U34" s="471"/>
      <c r="V34" s="474" t="str">
        <f aca="false">IF(TITLE_DATE_PR_CHANGE="",IF(TITLE_DATE_PR="","",TITLE_DATE_PR),TITLE_DATE_PR_CHANGE)</f>
        <v>45279.46460648148</v>
      </c>
      <c r="W34" s="474"/>
      <c r="X34" s="474"/>
      <c r="Y34" s="474"/>
      <c r="Z34" s="474"/>
      <c r="AA34" s="474"/>
      <c r="AB34" s="474"/>
      <c r="AC34" s="42"/>
      <c r="AD34" s="474" t="str">
        <f aca="false">IF(TITLE_DATE_PR_CHANGE="",IF(TITLE_DATE_PR="","",TITLE_DATE_PR),TITLE_DATE_PR_CHANGE)</f>
        <v>45279.46460648148</v>
      </c>
      <c r="AE34" s="474"/>
      <c r="AF34" s="474"/>
      <c r="AG34" s="474"/>
      <c r="AH34" s="474"/>
      <c r="AI34" s="474"/>
      <c r="AJ34" s="474"/>
      <c r="AK34" s="42"/>
      <c r="AL34" s="42"/>
      <c r="AM34" s="473"/>
      <c r="AN34" s="117"/>
      <c r="AO34" s="117"/>
      <c r="AP34" s="117"/>
      <c r="AQ34" s="117"/>
      <c r="AR34" s="117"/>
    </row>
    <row r="35" s="174" customFormat="true" ht="18.75" hidden="true" customHeight="true" outlineLevel="0" collapsed="false">
      <c r="A35" s="139"/>
      <c r="B35" s="139"/>
      <c r="C35" s="139"/>
      <c r="D35" s="139"/>
      <c r="E35" s="139"/>
      <c r="F35" s="139"/>
      <c r="G35" s="139"/>
      <c r="H35" s="139"/>
      <c r="I35" s="139"/>
      <c r="J35" s="139"/>
      <c r="K35" s="139"/>
      <c r="L35" s="417"/>
      <c r="M35" s="139"/>
      <c r="N35" s="139"/>
      <c r="O35" s="139"/>
      <c r="S35" s="470" t="s">
        <v>440</v>
      </c>
      <c r="T35" s="470"/>
      <c r="U35" s="471"/>
      <c r="V35" s="472" t="str">
        <f aca="false">IF(TITLE_NUMBER_PR_CHANGE="",IF(TITLE_NUMBER_PR="","",TITLE_NUMBER_PR),TITLE_NUMBER_PR_CHANGE)</f>
        <v>403-гвс, 404-гвс, 406-гвс</v>
      </c>
      <c r="W35" s="472"/>
      <c r="X35" s="472"/>
      <c r="Y35" s="472"/>
      <c r="Z35" s="472"/>
      <c r="AA35" s="472"/>
      <c r="AB35" s="472"/>
      <c r="AC35" s="42"/>
      <c r="AD35" s="472" t="str">
        <f aca="false">IF(TITLE_NUMBER_PR_CHANGE="",IF(TITLE_NUMBER_PR="","",TITLE_NUMBER_PR),TITLE_NUMBER_PR_CHANGE)</f>
        <v>403-гвс, 404-гвс, 406-гвс</v>
      </c>
      <c r="AE35" s="472"/>
      <c r="AF35" s="472"/>
      <c r="AG35" s="472"/>
      <c r="AH35" s="472"/>
      <c r="AI35" s="472"/>
      <c r="AJ35" s="472"/>
      <c r="AK35" s="42"/>
      <c r="AL35" s="42"/>
      <c r="AM35" s="473"/>
      <c r="AN35" s="117"/>
      <c r="AO35" s="117"/>
      <c r="AP35" s="117"/>
      <c r="AQ35" s="117"/>
      <c r="AR35" s="117"/>
    </row>
    <row r="36" s="174" customFormat="true" ht="12.8" hidden="false" customHeight="false" outlineLevel="0" collapsed="false">
      <c r="A36" s="139"/>
      <c r="B36" s="139"/>
      <c r="C36" s="139"/>
      <c r="D36" s="139"/>
      <c r="E36" s="139"/>
      <c r="F36" s="139"/>
      <c r="G36" s="139"/>
      <c r="H36" s="139"/>
      <c r="I36" s="139"/>
      <c r="J36" s="139"/>
      <c r="K36" s="139"/>
      <c r="L36" s="417"/>
      <c r="M36" s="139"/>
      <c r="N36" s="139"/>
      <c r="O36" s="139"/>
      <c r="S36" s="42"/>
      <c r="T36" s="42"/>
      <c r="U36" s="127"/>
      <c r="V36" s="42"/>
      <c r="W36" s="42"/>
      <c r="X36" s="42"/>
      <c r="Y36" s="42"/>
      <c r="Z36" s="42"/>
      <c r="AA36" s="42"/>
      <c r="AB36" s="42"/>
      <c r="AC36" s="47" t="s">
        <v>441</v>
      </c>
      <c r="AD36" s="42"/>
      <c r="AE36" s="42"/>
      <c r="AF36" s="42"/>
      <c r="AG36" s="42"/>
      <c r="AH36" s="42"/>
      <c r="AI36" s="42"/>
      <c r="AJ36" s="42"/>
      <c r="AK36" s="47" t="s">
        <v>441</v>
      </c>
      <c r="AN36" s="117"/>
      <c r="AO36" s="117"/>
      <c r="AP36" s="117"/>
      <c r="AQ36" s="117"/>
      <c r="AR36" s="117"/>
    </row>
    <row r="37" customFormat="false" ht="14.25" hidden="false" customHeight="true" outlineLevel="0" collapsed="false">
      <c r="Q37" s="467"/>
      <c r="R37" s="467"/>
      <c r="S37" s="468"/>
      <c r="T37" s="79"/>
      <c r="U37" s="475"/>
      <c r="V37" s="476"/>
      <c r="W37" s="476"/>
      <c r="X37" s="476"/>
      <c r="Y37" s="476"/>
      <c r="Z37" s="476"/>
      <c r="AA37" s="476"/>
      <c r="AB37" s="476"/>
      <c r="AC37" s="476"/>
      <c r="AD37" s="476"/>
      <c r="AE37" s="476"/>
      <c r="AF37" s="476"/>
      <c r="AG37" s="476"/>
      <c r="AH37" s="476"/>
      <c r="AI37" s="476"/>
      <c r="AJ37" s="476"/>
      <c r="AK37" s="476"/>
    </row>
    <row r="38" customFormat="false" ht="14.25" hidden="false" customHeight="true" outlineLevel="0" collapsed="false">
      <c r="Q38" s="467"/>
      <c r="R38" s="467"/>
      <c r="S38" s="133" t="s">
        <v>316</v>
      </c>
      <c r="T38" s="133"/>
      <c r="U38" s="133"/>
      <c r="V38" s="133"/>
      <c r="W38" s="133"/>
      <c r="X38" s="133"/>
      <c r="Y38" s="133"/>
      <c r="Z38" s="133"/>
      <c r="AA38" s="133"/>
      <c r="AB38" s="133"/>
      <c r="AC38" s="133"/>
      <c r="AD38" s="133"/>
      <c r="AE38" s="133"/>
      <c r="AF38" s="133"/>
      <c r="AG38" s="133"/>
      <c r="AH38" s="133"/>
      <c r="AI38" s="133"/>
      <c r="AJ38" s="133"/>
      <c r="AK38" s="133"/>
      <c r="AL38" s="133"/>
      <c r="AM38" s="133" t="s">
        <v>317</v>
      </c>
    </row>
    <row r="39" customFormat="false" ht="14.25" hidden="false" customHeight="true" outlineLevel="0" collapsed="false">
      <c r="Q39" s="467"/>
      <c r="R39" s="467"/>
      <c r="S39" s="477" t="s">
        <v>84</v>
      </c>
      <c r="T39" s="394" t="s">
        <v>442</v>
      </c>
      <c r="U39" s="478"/>
      <c r="V39" s="300" t="s">
        <v>443</v>
      </c>
      <c r="W39" s="300"/>
      <c r="X39" s="300"/>
      <c r="Y39" s="300"/>
      <c r="Z39" s="300"/>
      <c r="AA39" s="300"/>
      <c r="AB39" s="300"/>
      <c r="AC39" s="394" t="s">
        <v>444</v>
      </c>
      <c r="AD39" s="300" t="s">
        <v>443</v>
      </c>
      <c r="AE39" s="300"/>
      <c r="AF39" s="300"/>
      <c r="AG39" s="300"/>
      <c r="AH39" s="300"/>
      <c r="AI39" s="300"/>
      <c r="AJ39" s="300"/>
      <c r="AK39" s="394" t="s">
        <v>445</v>
      </c>
      <c r="AL39" s="479" t="s">
        <v>446</v>
      </c>
      <c r="AM39" s="133"/>
    </row>
    <row r="40" customFormat="false" ht="23.25" hidden="false" customHeight="true" outlineLevel="0" collapsed="false">
      <c r="Q40" s="467"/>
      <c r="R40" s="467"/>
      <c r="S40" s="477"/>
      <c r="T40" s="394"/>
      <c r="U40" s="480"/>
      <c r="V40" s="146" t="s">
        <v>447</v>
      </c>
      <c r="W40" s="269" t="s">
        <v>448</v>
      </c>
      <c r="X40" s="304" t="s">
        <v>449</v>
      </c>
      <c r="Y40" s="304"/>
      <c r="Z40" s="501" t="s">
        <v>450</v>
      </c>
      <c r="AA40" s="501"/>
      <c r="AB40" s="501"/>
      <c r="AC40" s="394"/>
      <c r="AD40" s="146" t="s">
        <v>447</v>
      </c>
      <c r="AE40" s="269" t="s">
        <v>448</v>
      </c>
      <c r="AF40" s="304" t="s">
        <v>449</v>
      </c>
      <c r="AG40" s="304"/>
      <c r="AH40" s="501" t="s">
        <v>450</v>
      </c>
      <c r="AI40" s="501"/>
      <c r="AJ40" s="501"/>
      <c r="AK40" s="394"/>
      <c r="AL40" s="479"/>
      <c r="AM40" s="133"/>
    </row>
    <row r="41" s="95" customFormat="true" ht="23.25" hidden="false" customHeight="true" outlineLevel="0" collapsed="false">
      <c r="A41" s="139"/>
      <c r="B41" s="139" t="s">
        <v>142</v>
      </c>
      <c r="C41" s="139" t="s">
        <v>143</v>
      </c>
      <c r="D41" s="139" t="s">
        <v>144</v>
      </c>
      <c r="E41" s="417" t="s">
        <v>451</v>
      </c>
      <c r="F41" s="417" t="s">
        <v>452</v>
      </c>
      <c r="G41" s="417" t="s">
        <v>453</v>
      </c>
      <c r="H41" s="417" t="s">
        <v>454</v>
      </c>
      <c r="I41" s="417" t="s">
        <v>455</v>
      </c>
      <c r="J41" s="417" t="s">
        <v>456</v>
      </c>
      <c r="K41" s="417" t="s">
        <v>457</v>
      </c>
      <c r="L41" s="417" t="s">
        <v>432</v>
      </c>
      <c r="M41" s="51"/>
      <c r="N41" s="51"/>
      <c r="O41" s="51"/>
      <c r="P41" s="50"/>
      <c r="Q41" s="467"/>
      <c r="R41" s="467"/>
      <c r="S41" s="477"/>
      <c r="T41" s="394"/>
      <c r="U41" s="481"/>
      <c r="V41" s="146"/>
      <c r="W41" s="269"/>
      <c r="X41" s="146" t="s">
        <v>458</v>
      </c>
      <c r="Y41" s="146" t="s">
        <v>459</v>
      </c>
      <c r="Z41" s="361" t="s">
        <v>460</v>
      </c>
      <c r="AA41" s="184" t="s">
        <v>461</v>
      </c>
      <c r="AB41" s="184"/>
      <c r="AC41" s="394"/>
      <c r="AD41" s="146"/>
      <c r="AE41" s="269"/>
      <c r="AF41" s="146" t="s">
        <v>458</v>
      </c>
      <c r="AG41" s="146" t="s">
        <v>459</v>
      </c>
      <c r="AH41" s="361" t="s">
        <v>460</v>
      </c>
      <c r="AI41" s="184" t="s">
        <v>461</v>
      </c>
      <c r="AJ41" s="184"/>
      <c r="AK41" s="394"/>
      <c r="AL41" s="479"/>
      <c r="AM41" s="133"/>
      <c r="AN41" s="47"/>
      <c r="AO41" s="117"/>
      <c r="AP41" s="117"/>
      <c r="AQ41" s="117"/>
      <c r="AR41" s="117"/>
    </row>
    <row r="42" s="119" customFormat="true" ht="11.25" hidden="true" customHeight="true" outlineLevel="0" collapsed="false">
      <c r="A42" s="139"/>
      <c r="B42" s="139"/>
      <c r="C42" s="139"/>
      <c r="D42" s="139"/>
      <c r="E42" s="139"/>
      <c r="F42" s="139"/>
      <c r="G42" s="139"/>
      <c r="H42" s="139"/>
      <c r="I42" s="139"/>
      <c r="J42" s="139"/>
      <c r="K42" s="139"/>
      <c r="L42" s="417"/>
      <c r="M42" s="51"/>
      <c r="N42" s="51"/>
      <c r="O42" s="51"/>
      <c r="P42" s="482"/>
      <c r="Q42" s="483"/>
      <c r="R42" s="484" t="n">
        <v>1</v>
      </c>
      <c r="S42" s="485" t="s">
        <v>117</v>
      </c>
      <c r="T42" s="486" t="s">
        <v>99</v>
      </c>
      <c r="U42" s="487" t="str">
        <f aca="true">OFFSET(U42,0,-1)</f>
        <v>2</v>
      </c>
      <c r="V42" s="488" t="n">
        <f aca="true">OFFSET(V42,0,-1)+1</f>
        <v>3</v>
      </c>
      <c r="W42" s="488"/>
      <c r="X42" s="367" t="n">
        <f aca="true">OFFSET(X42,0,-1)+1</f>
        <v>1</v>
      </c>
      <c r="Y42" s="367" t="n">
        <f aca="true">OFFSET(Y42,0,-1)+1</f>
        <v>2</v>
      </c>
      <c r="Z42" s="488" t="n">
        <f aca="true">OFFSET(Z42,0,-1)+1</f>
        <v>3</v>
      </c>
      <c r="AA42" s="488" t="n">
        <f aca="true">OFFSET(AA42,0,-1)+1</f>
        <v>4</v>
      </c>
      <c r="AB42" s="488"/>
      <c r="AC42" s="488" t="n">
        <f aca="true">OFFSET(AC42,0,-2)+1</f>
        <v>5</v>
      </c>
      <c r="AD42" s="488" t="n">
        <f aca="true">OFFSET(AD42,0,-1)+1</f>
        <v>6</v>
      </c>
      <c r="AE42" s="488"/>
      <c r="AF42" s="367" t="n">
        <f aca="true">OFFSET(AF42,0,-1)+1</f>
        <v>1</v>
      </c>
      <c r="AG42" s="367" t="n">
        <f aca="true">OFFSET(AG42,0,-1)+1</f>
        <v>2</v>
      </c>
      <c r="AH42" s="488" t="n">
        <f aca="true">OFFSET(AH42,0,-1)+1</f>
        <v>3</v>
      </c>
      <c r="AI42" s="488" t="n">
        <f aca="true">OFFSET(AI42,0,-1)+1</f>
        <v>4</v>
      </c>
      <c r="AJ42" s="488"/>
      <c r="AK42" s="488" t="n">
        <f aca="true">OFFSET(AK42,0,-2)+1</f>
        <v>5</v>
      </c>
      <c r="AL42" s="487" t="n">
        <f aca="true">OFFSET(AL42,0,-1)</f>
        <v>5</v>
      </c>
      <c r="AM42" s="488" t="n">
        <f aca="true">OFFSET(AM42,0,-1)+1</f>
        <v>6</v>
      </c>
      <c r="AN42" s="47"/>
      <c r="AO42" s="47"/>
      <c r="AP42" s="47"/>
      <c r="AQ42" s="47"/>
      <c r="AR42" s="47"/>
    </row>
    <row r="43" customFormat="false" ht="21" hidden="false" customHeight="true" outlineLevel="0" collapsed="false">
      <c r="A43" s="415" t="s">
        <v>199</v>
      </c>
      <c r="B43" s="415"/>
      <c r="C43" s="415"/>
      <c r="D43" s="415"/>
      <c r="E43" s="416" t="n">
        <v>1</v>
      </c>
      <c r="F43" s="415"/>
      <c r="G43" s="415"/>
      <c r="H43" s="415"/>
      <c r="I43" s="415"/>
      <c r="J43" s="415"/>
      <c r="K43" s="415"/>
      <c r="L43" s="417"/>
      <c r="M43" s="40"/>
      <c r="N43" s="40"/>
      <c r="O43" s="40"/>
      <c r="Q43" s="131"/>
      <c r="R43" s="418"/>
      <c r="S43" s="419" t="n">
        <f aca="false">INDEX(PT_DIFFERENTIATION_NUM_NTAR,MATCH(A43,PT_DIFFERENTIATION_NTAR_ID,0))</f>
        <v>0</v>
      </c>
      <c r="T43" s="420" t="s">
        <v>130</v>
      </c>
      <c r="U43" s="421"/>
      <c r="V43" s="422"/>
      <c r="W43" s="422"/>
      <c r="X43" s="422"/>
      <c r="Y43" s="422"/>
      <c r="Z43" s="422"/>
      <c r="AA43" s="422"/>
      <c r="AB43" s="422"/>
      <c r="AC43" s="422"/>
      <c r="AD43" s="423" t="str">
        <f aca="false">INDEX(PT_DIFFERENTIATION_NTAR,MATCH(A43,PT_DIFFERENTIATION_NTAR_ID,0))</f>
        <v/>
      </c>
      <c r="AE43" s="423"/>
      <c r="AF43" s="423"/>
      <c r="AG43" s="423"/>
      <c r="AH43" s="423"/>
      <c r="AI43" s="423"/>
      <c r="AJ43" s="423"/>
      <c r="AK43" s="423"/>
      <c r="AL43" s="423"/>
      <c r="AM43" s="424"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7"/>
      <c r="AP43" s="117" t="str">
        <f aca="false">IF(T43="","",T43)</f>
        <v>Наименование тарифа</v>
      </c>
      <c r="AQ43" s="117"/>
      <c r="AR43" s="117"/>
    </row>
    <row r="44" customFormat="false" ht="21" hidden="false" customHeight="true" outlineLevel="0" collapsed="false">
      <c r="A44" s="415" t="s">
        <v>199</v>
      </c>
      <c r="B44" s="415" t="s">
        <v>200</v>
      </c>
      <c r="C44" s="415"/>
      <c r="D44" s="415"/>
      <c r="E44" s="416"/>
      <c r="F44" s="416" t="n">
        <v>1</v>
      </c>
      <c r="G44" s="415"/>
      <c r="H44" s="415"/>
      <c r="I44" s="415"/>
      <c r="J44" s="415"/>
      <c r="K44" s="415"/>
      <c r="L44" s="417"/>
      <c r="M44" s="40"/>
      <c r="N44" s="40"/>
      <c r="O44" s="40"/>
      <c r="P44" s="43"/>
      <c r="Q44" s="425"/>
      <c r="R44" s="426"/>
      <c r="S44" s="419" t="str">
        <f aca="false">INDEX(PT_DIFFERENTIATION_NUM_TER,MATCH(B44,PT_DIFFERENTIATION_TER_ID,0))</f>
        <v>.</v>
      </c>
      <c r="T44" s="427" t="s">
        <v>413</v>
      </c>
      <c r="U44" s="421"/>
      <c r="V44" s="422"/>
      <c r="W44" s="422"/>
      <c r="X44" s="422"/>
      <c r="Y44" s="422"/>
      <c r="Z44" s="422"/>
      <c r="AA44" s="422"/>
      <c r="AB44" s="422"/>
      <c r="AC44" s="422"/>
      <c r="AD44" s="423" t="str">
        <f aca="false">INDEX(PT_DIFFERENTIATION_TER,MATCH(B44,PT_DIFFERENTIATION_TER_ID,0))</f>
        <v/>
      </c>
      <c r="AE44" s="423"/>
      <c r="AF44" s="423"/>
      <c r="AG44" s="423"/>
      <c r="AH44" s="423"/>
      <c r="AI44" s="423"/>
      <c r="AJ44" s="423"/>
      <c r="AK44" s="423"/>
      <c r="AL44" s="423"/>
      <c r="AM44" s="424" t="s">
        <v>414</v>
      </c>
      <c r="AO44" s="117"/>
      <c r="AP44" s="117" t="str">
        <f aca="false">IF(T44="","",T44)</f>
        <v>Территория действия тарифа</v>
      </c>
      <c r="AQ44" s="117"/>
      <c r="AR44" s="117"/>
    </row>
    <row r="45" customFormat="false" ht="23.25" hidden="false" customHeight="true" outlineLevel="0" collapsed="false">
      <c r="A45" s="415" t="s">
        <v>199</v>
      </c>
      <c r="B45" s="415" t="s">
        <v>200</v>
      </c>
      <c r="C45" s="415" t="s">
        <v>201</v>
      </c>
      <c r="D45" s="415"/>
      <c r="E45" s="416"/>
      <c r="F45" s="416"/>
      <c r="G45" s="416" t="n">
        <v>1</v>
      </c>
      <c r="H45" s="415"/>
      <c r="I45" s="415"/>
      <c r="J45" s="415"/>
      <c r="K45" s="415"/>
      <c r="L45" s="417"/>
      <c r="M45" s="40"/>
      <c r="N45" s="40"/>
      <c r="O45" s="40"/>
      <c r="P45" s="428"/>
      <c r="Q45" s="425"/>
      <c r="R45" s="426"/>
      <c r="S45" s="419" t="str">
        <f aca="false">INDEX(PT_DIFFERENTIATION_NUM_CS,MATCH(C45,PT_DIFFERENTIATION_CS_ID,0))</f>
        <v>..</v>
      </c>
      <c r="T45" s="429" t="s">
        <v>415</v>
      </c>
      <c r="U45" s="421"/>
      <c r="V45" s="422"/>
      <c r="W45" s="422"/>
      <c r="X45" s="422"/>
      <c r="Y45" s="422"/>
      <c r="Z45" s="422"/>
      <c r="AA45" s="422"/>
      <c r="AB45" s="422"/>
      <c r="AC45" s="422"/>
      <c r="AD45" s="423" t="str">
        <f aca="false">INDEX(PT_DIFFERENTIATION_CS,MATCH(C45,PT_DIFFERENTIATION_CS_ID,0))</f>
        <v/>
      </c>
      <c r="AE45" s="423"/>
      <c r="AF45" s="423"/>
      <c r="AG45" s="423"/>
      <c r="AH45" s="423"/>
      <c r="AI45" s="423"/>
      <c r="AJ45" s="423"/>
      <c r="AK45" s="423"/>
      <c r="AL45" s="423"/>
      <c r="AM45" s="424" t="s">
        <v>416</v>
      </c>
      <c r="AO45" s="117"/>
      <c r="AP45" s="117" t="str">
        <f aca="false">IF(T45="","",T45)</f>
        <v>Наименование системы теплоснабжения</v>
      </c>
      <c r="AQ45" s="117"/>
      <c r="AR45" s="117"/>
    </row>
    <row r="46" customFormat="false" ht="21" hidden="false" customHeight="true" outlineLevel="0" collapsed="false">
      <c r="A46" s="415" t="s">
        <v>199</v>
      </c>
      <c r="B46" s="415" t="s">
        <v>200</v>
      </c>
      <c r="C46" s="415" t="s">
        <v>201</v>
      </c>
      <c r="D46" s="415" t="s">
        <v>202</v>
      </c>
      <c r="E46" s="416"/>
      <c r="F46" s="416"/>
      <c r="G46" s="416"/>
      <c r="H46" s="416" t="n">
        <v>1</v>
      </c>
      <c r="I46" s="415"/>
      <c r="J46" s="415"/>
      <c r="K46" s="415"/>
      <c r="L46" s="417"/>
      <c r="M46" s="40"/>
      <c r="N46" s="40"/>
      <c r="O46" s="40"/>
      <c r="P46" s="428"/>
      <c r="Q46" s="425"/>
      <c r="R46" s="426"/>
      <c r="S46" s="419" t="str">
        <f aca="false">INDEX(PT_DIFFERENTIATION_NUM_IST_TE,MATCH(D46,PT_DIFFERENTIATION_IST_TE_ID,0))</f>
        <v>...</v>
      </c>
      <c r="T46" s="430" t="s">
        <v>417</v>
      </c>
      <c r="U46" s="421"/>
      <c r="V46" s="422"/>
      <c r="W46" s="422"/>
      <c r="X46" s="422"/>
      <c r="Y46" s="422"/>
      <c r="Z46" s="422"/>
      <c r="AA46" s="422"/>
      <c r="AB46" s="422"/>
      <c r="AC46" s="422"/>
      <c r="AD46" s="423" t="str">
        <f aca="false">INDEX(PT_DIFFERENTIATION_IST_TE,MATCH(D46,PT_DIFFERENTIATION_IST_TE_ID,0))</f>
        <v/>
      </c>
      <c r="AE46" s="423"/>
      <c r="AF46" s="423"/>
      <c r="AG46" s="423"/>
      <c r="AH46" s="423"/>
      <c r="AI46" s="423"/>
      <c r="AJ46" s="423"/>
      <c r="AK46" s="423"/>
      <c r="AL46" s="423"/>
      <c r="AM46" s="424" t="s">
        <v>418</v>
      </c>
      <c r="AO46" s="117"/>
      <c r="AP46" s="117" t="str">
        <f aca="false">IF(T46="","",T46)</f>
        <v>Источник тепловой энергии</v>
      </c>
      <c r="AQ46" s="117"/>
      <c r="AR46" s="117"/>
    </row>
    <row r="47" customFormat="false" ht="47.25" hidden="false" customHeight="true" outlineLevel="0" collapsed="false">
      <c r="A47" s="415" t="s">
        <v>199</v>
      </c>
      <c r="B47" s="415" t="s">
        <v>200</v>
      </c>
      <c r="C47" s="415" t="s">
        <v>201</v>
      </c>
      <c r="D47" s="415" t="s">
        <v>202</v>
      </c>
      <c r="E47" s="416"/>
      <c r="F47" s="416"/>
      <c r="G47" s="416"/>
      <c r="H47" s="416"/>
      <c r="I47" s="431" t="str">
        <f aca="false">S46&amp;".1"</f>
        <v>....1</v>
      </c>
      <c r="J47" s="415"/>
      <c r="K47" s="415"/>
      <c r="L47" s="417" t="s">
        <v>419</v>
      </c>
      <c r="P47" s="120" t="n">
        <v>1</v>
      </c>
      <c r="Q47" s="120"/>
      <c r="R47" s="432"/>
      <c r="S47" s="419" t="str">
        <f aca="false">$I47</f>
        <v>....1</v>
      </c>
      <c r="T47" s="433" t="s">
        <v>420</v>
      </c>
      <c r="U47" s="421"/>
      <c r="V47" s="434"/>
      <c r="W47" s="434"/>
      <c r="X47" s="434"/>
      <c r="Y47" s="434"/>
      <c r="Z47" s="434"/>
      <c r="AA47" s="434"/>
      <c r="AB47" s="434"/>
      <c r="AC47" s="434"/>
      <c r="AD47" s="434"/>
      <c r="AE47" s="434"/>
      <c r="AF47" s="434"/>
      <c r="AG47" s="434"/>
      <c r="AH47" s="434"/>
      <c r="AI47" s="434"/>
      <c r="AJ47" s="434"/>
      <c r="AK47" s="434"/>
      <c r="AL47" s="434"/>
      <c r="AM47" s="424" t="s">
        <v>421</v>
      </c>
      <c r="AO47" s="117"/>
      <c r="AP47" s="117" t="str">
        <f aca="false">IF(T47="","",T47)</f>
        <v>Схема подключения теплопотребляющей установки к коллектору источника тепловой энергии</v>
      </c>
      <c r="AQ47" s="117"/>
      <c r="AR47" s="117"/>
    </row>
    <row r="48" customFormat="false" ht="21" hidden="false" customHeight="true" outlineLevel="0" collapsed="false">
      <c r="A48" s="415" t="s">
        <v>199</v>
      </c>
      <c r="B48" s="415" t="s">
        <v>200</v>
      </c>
      <c r="C48" s="415" t="s">
        <v>201</v>
      </c>
      <c r="D48" s="415" t="s">
        <v>202</v>
      </c>
      <c r="E48" s="416"/>
      <c r="F48" s="416"/>
      <c r="G48" s="416"/>
      <c r="H48" s="416"/>
      <c r="I48" s="431"/>
      <c r="J48" s="431" t="str">
        <f aca="false">I47&amp;".1"</f>
        <v>....1.1</v>
      </c>
      <c r="K48" s="415"/>
      <c r="L48" s="417" t="s">
        <v>422</v>
      </c>
      <c r="P48" s="120"/>
      <c r="Q48" s="120" t="n">
        <v>1</v>
      </c>
      <c r="R48" s="435"/>
      <c r="S48" s="419" t="str">
        <f aca="false">$J48</f>
        <v>....1.1</v>
      </c>
      <c r="T48" s="436" t="s">
        <v>423</v>
      </c>
      <c r="U48" s="421"/>
      <c r="V48" s="434"/>
      <c r="W48" s="434"/>
      <c r="X48" s="434"/>
      <c r="Y48" s="434"/>
      <c r="Z48" s="434"/>
      <c r="AA48" s="434"/>
      <c r="AB48" s="434"/>
      <c r="AC48" s="434"/>
      <c r="AD48" s="434"/>
      <c r="AE48" s="434"/>
      <c r="AF48" s="434"/>
      <c r="AG48" s="434"/>
      <c r="AH48" s="434"/>
      <c r="AI48" s="434"/>
      <c r="AJ48" s="434"/>
      <c r="AK48" s="434"/>
      <c r="AL48" s="434"/>
      <c r="AM48" s="424" t="s">
        <v>424</v>
      </c>
      <c r="AO48" s="117"/>
      <c r="AP48" s="117" t="str">
        <f aca="false">IF(T48="","",T48)</f>
        <v>Группа потребителей</v>
      </c>
      <c r="AQ48" s="117"/>
      <c r="AR48" s="117"/>
    </row>
    <row r="49" customFormat="false" ht="21" hidden="false" customHeight="true" outlineLevel="0" collapsed="false">
      <c r="A49" s="415" t="s">
        <v>199</v>
      </c>
      <c r="B49" s="415" t="s">
        <v>200</v>
      </c>
      <c r="C49" s="415" t="s">
        <v>201</v>
      </c>
      <c r="D49" s="415" t="s">
        <v>202</v>
      </c>
      <c r="E49" s="416"/>
      <c r="F49" s="416"/>
      <c r="G49" s="416"/>
      <c r="H49" s="416"/>
      <c r="I49" s="431"/>
      <c r="J49" s="431"/>
      <c r="K49" s="431" t="str">
        <f aca="false">J48&amp;".1"</f>
        <v>....1.1.1</v>
      </c>
      <c r="L49" s="417" t="s">
        <v>425</v>
      </c>
      <c r="P49" s="120"/>
      <c r="Q49" s="120"/>
      <c r="R49" s="435" t="n">
        <v>1</v>
      </c>
      <c r="S49" s="419" t="str">
        <f aca="false">$K49</f>
        <v>....1.1.1</v>
      </c>
      <c r="T49" s="437"/>
      <c r="U49" s="421"/>
      <c r="V49" s="439"/>
      <c r="W49" s="438"/>
      <c r="X49" s="439"/>
      <c r="Y49" s="500"/>
      <c r="Z49" s="441"/>
      <c r="AA49" s="203" t="s">
        <v>63</v>
      </c>
      <c r="AB49" s="441"/>
      <c r="AC49" s="203" t="s">
        <v>63</v>
      </c>
      <c r="AD49" s="439"/>
      <c r="AE49" s="438"/>
      <c r="AF49" s="439"/>
      <c r="AG49" s="500"/>
      <c r="AH49" s="441"/>
      <c r="AI49" s="203" t="s">
        <v>63</v>
      </c>
      <c r="AJ49" s="441"/>
      <c r="AK49" s="203" t="s">
        <v>63</v>
      </c>
      <c r="AL49" s="489"/>
      <c r="AM49" s="442" t="s">
        <v>426</v>
      </c>
      <c r="AN49" s="47" t="e">
        <f aca="false">strcheckdate(V50:AL50)</f>
        <v>#NAME?</v>
      </c>
      <c r="AO49" s="117"/>
      <c r="AP49" s="117" t="str">
        <f aca="false">IF(T49="","",T49)</f>
        <v/>
      </c>
      <c r="AQ49" s="117"/>
      <c r="AR49" s="117"/>
    </row>
    <row r="50" customFormat="false" ht="0.75" hidden="false" customHeight="true" outlineLevel="0" collapsed="false">
      <c r="A50" s="415" t="s">
        <v>199</v>
      </c>
      <c r="B50" s="415" t="s">
        <v>200</v>
      </c>
      <c r="C50" s="415" t="s">
        <v>201</v>
      </c>
      <c r="D50" s="415" t="s">
        <v>202</v>
      </c>
      <c r="E50" s="416"/>
      <c r="F50" s="416"/>
      <c r="G50" s="416"/>
      <c r="H50" s="416"/>
      <c r="I50" s="431"/>
      <c r="J50" s="431"/>
      <c r="K50" s="431"/>
      <c r="L50" s="417"/>
      <c r="P50" s="120"/>
      <c r="Q50" s="120"/>
      <c r="R50" s="435"/>
      <c r="S50" s="396"/>
      <c r="T50" s="421"/>
      <c r="U50" s="421"/>
      <c r="V50" s="439"/>
      <c r="W50" s="439"/>
      <c r="X50" s="439"/>
      <c r="Y50" s="443" t="str">
        <f aca="false">Z49&amp;"-"&amp;AB49</f>
        <v>-</v>
      </c>
      <c r="Z50" s="441"/>
      <c r="AA50" s="203"/>
      <c r="AB50" s="441"/>
      <c r="AC50" s="203"/>
      <c r="AD50" s="439"/>
      <c r="AE50" s="439"/>
      <c r="AF50" s="439"/>
      <c r="AG50" s="443" t="str">
        <f aca="false">AH49&amp;"-"&amp;AJ49</f>
        <v>-</v>
      </c>
      <c r="AH50" s="441"/>
      <c r="AI50" s="203"/>
      <c r="AJ50" s="441"/>
      <c r="AK50" s="203"/>
      <c r="AL50" s="490"/>
      <c r="AM50" s="442"/>
      <c r="AO50" s="117"/>
      <c r="AP50" s="117" t="str">
        <f aca="false">IF(T50="","",T50)</f>
        <v/>
      </c>
      <c r="AQ50" s="117"/>
      <c r="AR50" s="117"/>
    </row>
    <row r="51" customFormat="false" ht="11.25" hidden="false" customHeight="true" outlineLevel="0" collapsed="false">
      <c r="A51" s="415" t="s">
        <v>199</v>
      </c>
      <c r="B51" s="415" t="s">
        <v>200</v>
      </c>
      <c r="C51" s="415" t="s">
        <v>201</v>
      </c>
      <c r="D51" s="415" t="s">
        <v>202</v>
      </c>
      <c r="E51" s="416"/>
      <c r="F51" s="416"/>
      <c r="G51" s="416"/>
      <c r="H51" s="416"/>
      <c r="I51" s="431"/>
      <c r="J51" s="431"/>
      <c r="K51" s="415"/>
      <c r="L51" s="417"/>
      <c r="P51" s="120"/>
      <c r="Q51" s="120"/>
      <c r="R51" s="432"/>
      <c r="S51" s="444"/>
      <c r="T51" s="445" t="s">
        <v>427</v>
      </c>
      <c r="U51" s="193"/>
      <c r="V51" s="193"/>
      <c r="W51" s="193"/>
      <c r="X51" s="193"/>
      <c r="Y51" s="193"/>
      <c r="Z51" s="193"/>
      <c r="AA51" s="193"/>
      <c r="AB51" s="193"/>
      <c r="AC51" s="193"/>
      <c r="AD51" s="193"/>
      <c r="AE51" s="193"/>
      <c r="AF51" s="193"/>
      <c r="AG51" s="193"/>
      <c r="AH51" s="193"/>
      <c r="AI51" s="193"/>
      <c r="AJ51" s="193"/>
      <c r="AK51" s="193"/>
      <c r="AL51" s="446"/>
      <c r="AM51" s="442"/>
      <c r="AO51" s="117"/>
      <c r="AP51" s="117" t="str">
        <f aca="false">IF(T51="","",T51)</f>
        <v>Добавить вид теплоносителя (параметры теплоносителя)</v>
      </c>
      <c r="AQ51" s="117"/>
      <c r="AR51" s="117"/>
    </row>
    <row r="52" customFormat="false" ht="11.25" hidden="false" customHeight="true" outlineLevel="0" collapsed="false">
      <c r="A52" s="415" t="s">
        <v>199</v>
      </c>
      <c r="B52" s="415" t="s">
        <v>200</v>
      </c>
      <c r="C52" s="415" t="s">
        <v>201</v>
      </c>
      <c r="D52" s="415" t="s">
        <v>202</v>
      </c>
      <c r="E52" s="416"/>
      <c r="F52" s="416"/>
      <c r="G52" s="416"/>
      <c r="H52" s="416"/>
      <c r="I52" s="431"/>
      <c r="J52" s="415"/>
      <c r="K52" s="415"/>
      <c r="L52" s="417"/>
      <c r="P52" s="120"/>
      <c r="Q52" s="120"/>
      <c r="R52" s="432"/>
      <c r="S52" s="444"/>
      <c r="T52" s="447" t="s">
        <v>428</v>
      </c>
      <c r="U52" s="193"/>
      <c r="V52" s="193"/>
      <c r="W52" s="193"/>
      <c r="X52" s="193"/>
      <c r="Y52" s="193"/>
      <c r="Z52" s="193"/>
      <c r="AA52" s="193"/>
      <c r="AB52" s="193"/>
      <c r="AC52" s="448"/>
      <c r="AD52" s="193"/>
      <c r="AE52" s="193"/>
      <c r="AF52" s="193"/>
      <c r="AG52" s="193"/>
      <c r="AH52" s="193"/>
      <c r="AI52" s="193"/>
      <c r="AJ52" s="193"/>
      <c r="AK52" s="448"/>
      <c r="AL52" s="193"/>
      <c r="AM52" s="449"/>
      <c r="AO52" s="117"/>
      <c r="AP52" s="117" t="str">
        <f aca="false">IF(T52="","",T52)</f>
        <v>Добавить группу потребителей</v>
      </c>
      <c r="AQ52" s="117"/>
      <c r="AR52" s="117"/>
    </row>
    <row r="53" customFormat="false" ht="14.25" hidden="false" customHeight="true" outlineLevel="0" collapsed="false">
      <c r="A53" s="415" t="s">
        <v>199</v>
      </c>
      <c r="B53" s="415" t="s">
        <v>200</v>
      </c>
      <c r="C53" s="415" t="s">
        <v>201</v>
      </c>
      <c r="D53" s="415" t="s">
        <v>202</v>
      </c>
      <c r="E53" s="416"/>
      <c r="F53" s="416"/>
      <c r="G53" s="416"/>
      <c r="H53" s="416"/>
      <c r="I53" s="415"/>
      <c r="J53" s="415"/>
      <c r="K53" s="415"/>
      <c r="L53" s="417"/>
      <c r="M53" s="40"/>
      <c r="N53" s="40"/>
      <c r="O53" s="45"/>
      <c r="P53" s="131"/>
      <c r="Q53" s="450"/>
      <c r="R53" s="418"/>
      <c r="S53" s="444"/>
      <c r="T53" s="451" t="s">
        <v>429</v>
      </c>
      <c r="U53" s="193"/>
      <c r="V53" s="193"/>
      <c r="W53" s="193"/>
      <c r="X53" s="193"/>
      <c r="Y53" s="193"/>
      <c r="Z53" s="193"/>
      <c r="AA53" s="193"/>
      <c r="AB53" s="193"/>
      <c r="AC53" s="448"/>
      <c r="AD53" s="193"/>
      <c r="AE53" s="193"/>
      <c r="AF53" s="193"/>
      <c r="AG53" s="193"/>
      <c r="AH53" s="193"/>
      <c r="AI53" s="193"/>
      <c r="AJ53" s="193"/>
      <c r="AK53" s="448"/>
      <c r="AL53" s="193"/>
      <c r="AM53" s="449"/>
      <c r="AO53" s="117"/>
      <c r="AP53" s="117" t="str">
        <f aca="false">IF(T53="","",T53)</f>
        <v>Добавить схему подключения</v>
      </c>
      <c r="AQ53" s="117"/>
      <c r="AR53" s="117"/>
    </row>
    <row r="54" s="47" customFormat="true" ht="0.75" hidden="false" customHeight="true" outlineLevel="0" collapsed="false">
      <c r="A54" s="121" t="s">
        <v>199</v>
      </c>
      <c r="B54" s="121" t="s">
        <v>200</v>
      </c>
      <c r="C54" s="121" t="s">
        <v>201</v>
      </c>
      <c r="D54" s="121"/>
      <c r="E54" s="416"/>
      <c r="F54" s="416"/>
      <c r="G54" s="416"/>
      <c r="H54" s="121"/>
      <c r="I54" s="121"/>
      <c r="J54" s="121"/>
      <c r="K54" s="121"/>
      <c r="L54" s="191"/>
      <c r="M54" s="46"/>
      <c r="N54" s="46"/>
      <c r="P54" s="155"/>
      <c r="Q54" s="452"/>
      <c r="R54" s="155"/>
      <c r="S54" s="457"/>
      <c r="T54" s="460" t="s">
        <v>430</v>
      </c>
      <c r="U54" s="459"/>
      <c r="V54" s="459"/>
      <c r="W54" s="459"/>
      <c r="X54" s="459"/>
      <c r="Y54" s="459"/>
      <c r="Z54" s="459"/>
      <c r="AA54" s="459"/>
      <c r="AB54" s="459"/>
      <c r="AC54" s="459"/>
      <c r="AD54" s="459"/>
      <c r="AE54" s="459"/>
      <c r="AF54" s="459"/>
      <c r="AG54" s="459"/>
      <c r="AH54" s="459"/>
      <c r="AI54" s="459"/>
      <c r="AJ54" s="459"/>
      <c r="AK54" s="459"/>
      <c r="AL54" s="459"/>
      <c r="AM54" s="459"/>
      <c r="AO54" s="117"/>
      <c r="AP54" s="117" t="str">
        <f aca="false">IF(T54="","",T54)</f>
        <v>Добавить источник для дифференциации</v>
      </c>
      <c r="AQ54" s="117"/>
      <c r="AR54" s="117"/>
    </row>
    <row r="55" s="47" customFormat="true" ht="0.75" hidden="false" customHeight="true" outlineLevel="0" collapsed="false">
      <c r="A55" s="121" t="s">
        <v>199</v>
      </c>
      <c r="B55" s="121" t="s">
        <v>200</v>
      </c>
      <c r="C55" s="121"/>
      <c r="D55" s="121"/>
      <c r="E55" s="416"/>
      <c r="F55" s="416"/>
      <c r="G55" s="121"/>
      <c r="H55" s="121"/>
      <c r="I55" s="121"/>
      <c r="J55" s="121"/>
      <c r="K55" s="121"/>
      <c r="L55" s="191"/>
      <c r="M55" s="456"/>
      <c r="N55" s="456"/>
      <c r="P55" s="155"/>
      <c r="Q55" s="452"/>
      <c r="R55" s="155"/>
      <c r="S55" s="457"/>
      <c r="T55" s="460" t="s">
        <v>261</v>
      </c>
      <c r="U55" s="459"/>
      <c r="V55" s="459"/>
      <c r="W55" s="459"/>
      <c r="X55" s="459"/>
      <c r="Y55" s="459"/>
      <c r="Z55" s="459"/>
      <c r="AA55" s="459"/>
      <c r="AB55" s="459"/>
      <c r="AC55" s="459"/>
      <c r="AD55" s="459"/>
      <c r="AE55" s="459"/>
      <c r="AF55" s="459"/>
      <c r="AG55" s="459"/>
      <c r="AH55" s="459"/>
      <c r="AI55" s="459"/>
      <c r="AJ55" s="459"/>
      <c r="AK55" s="459"/>
      <c r="AL55" s="459"/>
      <c r="AM55" s="459"/>
      <c r="AO55" s="117"/>
      <c r="AP55" s="117" t="str">
        <f aca="false">IF(T55="","",T55)</f>
        <v>Добавить централизованную систему для дифференциации</v>
      </c>
      <c r="AQ55" s="117"/>
      <c r="AR55" s="117"/>
    </row>
    <row r="56" s="47" customFormat="true" ht="0.75" hidden="false" customHeight="true" outlineLevel="0" collapsed="false">
      <c r="A56" s="121" t="s">
        <v>199</v>
      </c>
      <c r="B56" s="121"/>
      <c r="C56" s="121"/>
      <c r="D56" s="121"/>
      <c r="E56" s="416"/>
      <c r="F56" s="121"/>
      <c r="G56" s="121"/>
      <c r="H56" s="121"/>
      <c r="I56" s="121"/>
      <c r="J56" s="121"/>
      <c r="K56" s="121"/>
      <c r="L56" s="191"/>
      <c r="M56" s="456"/>
      <c r="N56" s="456"/>
      <c r="P56" s="155"/>
      <c r="Q56" s="452"/>
      <c r="R56" s="155"/>
      <c r="S56" s="457"/>
      <c r="T56" s="460" t="s">
        <v>268</v>
      </c>
      <c r="U56" s="459"/>
      <c r="V56" s="459"/>
      <c r="W56" s="459"/>
      <c r="X56" s="459"/>
      <c r="Y56" s="459"/>
      <c r="Z56" s="459"/>
      <c r="AA56" s="459"/>
      <c r="AB56" s="459"/>
      <c r="AC56" s="459"/>
      <c r="AD56" s="459"/>
      <c r="AE56" s="459"/>
      <c r="AF56" s="459"/>
      <c r="AG56" s="459"/>
      <c r="AH56" s="459"/>
      <c r="AI56" s="459"/>
      <c r="AJ56" s="459"/>
      <c r="AK56" s="459"/>
      <c r="AL56" s="459"/>
      <c r="AM56" s="459"/>
      <c r="AO56" s="117"/>
      <c r="AP56" s="117" t="str">
        <f aca="false">IF(T56="","",T56)</f>
        <v>Добавить территорию для дифференциации</v>
      </c>
      <c r="AQ56" s="117"/>
      <c r="AR56" s="117"/>
    </row>
    <row r="57" s="47" customFormat="true" ht="0.75" hidden="false" customHeight="true" outlineLevel="0" collapsed="false">
      <c r="A57" s="121"/>
      <c r="B57" s="121"/>
      <c r="C57" s="121"/>
      <c r="D57" s="121"/>
      <c r="E57" s="121"/>
      <c r="F57" s="121"/>
      <c r="G57" s="121"/>
      <c r="H57" s="121"/>
      <c r="I57" s="121"/>
      <c r="J57" s="121"/>
      <c r="K57" s="121"/>
      <c r="L57" s="191"/>
      <c r="M57" s="456"/>
      <c r="N57" s="456"/>
      <c r="P57" s="155"/>
      <c r="Q57" s="452"/>
      <c r="R57" s="155"/>
      <c r="S57" s="457"/>
      <c r="T57" s="460" t="s">
        <v>269</v>
      </c>
      <c r="U57" s="459"/>
      <c r="V57" s="459"/>
      <c r="W57" s="459"/>
      <c r="X57" s="459"/>
      <c r="Y57" s="459"/>
      <c r="Z57" s="459"/>
      <c r="AA57" s="459"/>
      <c r="AB57" s="459"/>
      <c r="AC57" s="459"/>
      <c r="AD57" s="459"/>
      <c r="AE57" s="459"/>
      <c r="AF57" s="459"/>
      <c r="AG57" s="459"/>
      <c r="AH57" s="459"/>
      <c r="AI57" s="459"/>
      <c r="AJ57" s="459"/>
      <c r="AK57" s="459"/>
      <c r="AL57" s="459"/>
      <c r="AM57" s="459"/>
      <c r="AO57" s="117"/>
      <c r="AP57" s="117" t="str">
        <f aca="false">IF(T57="","",T57)</f>
        <v>Добавить наименование тарифа</v>
      </c>
      <c r="AQ57" s="117"/>
      <c r="AR57" s="117"/>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12"/>
      <c r="T59" s="491"/>
      <c r="U59" s="491"/>
      <c r="V59" s="491"/>
      <c r="W59" s="491"/>
      <c r="X59" s="491"/>
      <c r="Y59" s="491"/>
      <c r="Z59" s="491"/>
      <c r="AA59" s="491"/>
      <c r="AB59" s="491"/>
      <c r="AC59" s="491"/>
      <c r="AD59" s="491"/>
      <c r="AE59" s="491"/>
      <c r="AF59" s="491"/>
      <c r="AG59" s="491"/>
      <c r="AH59" s="491"/>
      <c r="AI59" s="491"/>
      <c r="AJ59" s="491"/>
      <c r="AK59" s="491"/>
      <c r="AL59" s="491"/>
      <c r="AM59" s="491"/>
    </row>
    <row r="60" customFormat="false" ht="75" hidden="false" customHeight="true" outlineLevel="0" collapsed="false">
      <c r="O60" s="45"/>
      <c r="T60" s="491"/>
      <c r="U60" s="491"/>
      <c r="V60" s="491"/>
      <c r="W60" s="491"/>
      <c r="X60" s="491"/>
      <c r="Y60" s="491"/>
      <c r="Z60" s="491"/>
      <c r="AA60" s="491"/>
      <c r="AB60" s="491"/>
      <c r="AC60" s="491"/>
      <c r="AD60" s="491"/>
      <c r="AE60" s="491"/>
      <c r="AF60" s="491"/>
      <c r="AG60" s="491"/>
      <c r="AH60" s="491"/>
      <c r="AI60" s="491"/>
      <c r="AJ60" s="491"/>
      <c r="AK60" s="491"/>
      <c r="AL60" s="491"/>
      <c r="AM60" s="491"/>
    </row>
    <row r="61" customFormat="false" ht="14.25" hidden="false" customHeight="true" outlineLevel="0" collapsed="false">
      <c r="O61" s="45"/>
    </row>
    <row r="62" customFormat="false" ht="18" hidden="false" customHeight="true" outlineLevel="0" collapsed="false">
      <c r="O62" s="45"/>
      <c r="S62" s="412"/>
      <c r="T62" s="491"/>
      <c r="U62" s="491"/>
      <c r="V62" s="491"/>
      <c r="W62" s="491"/>
      <c r="X62" s="491"/>
      <c r="Y62" s="491"/>
      <c r="Z62" s="491"/>
      <c r="AA62" s="491"/>
      <c r="AB62" s="491"/>
      <c r="AC62" s="491"/>
      <c r="AD62" s="491"/>
      <c r="AE62" s="491"/>
      <c r="AF62" s="491"/>
      <c r="AG62" s="491"/>
      <c r="AH62" s="491"/>
      <c r="AI62" s="491"/>
      <c r="AJ62" s="491"/>
      <c r="AK62" s="491"/>
      <c r="AL62" s="491"/>
      <c r="AM62" s="491"/>
    </row>
    <row r="63" customFormat="false" ht="18" hidden="false" customHeight="true" outlineLevel="0" collapsed="false">
      <c r="O63" s="45"/>
      <c r="T63" s="491"/>
      <c r="U63" s="491"/>
      <c r="V63" s="491"/>
      <c r="W63" s="491"/>
      <c r="X63" s="491"/>
      <c r="Y63" s="491"/>
      <c r="Z63" s="491"/>
      <c r="AA63" s="491"/>
      <c r="AB63" s="491"/>
      <c r="AC63" s="491"/>
      <c r="AD63" s="491"/>
      <c r="AE63" s="491"/>
      <c r="AF63" s="491"/>
      <c r="AG63" s="491"/>
      <c r="AH63" s="491"/>
      <c r="AI63" s="491"/>
      <c r="AJ63" s="491"/>
      <c r="AK63" s="491"/>
      <c r="AL63" s="491"/>
      <c r="AM63" s="491"/>
    </row>
    <row r="64" customFormat="false" ht="38.25" hidden="false" customHeight="true" outlineLevel="0" collapsed="false">
      <c r="O64" s="45"/>
      <c r="S64" s="412"/>
      <c r="T64" s="491"/>
      <c r="U64" s="491"/>
      <c r="V64" s="491"/>
      <c r="W64" s="491"/>
      <c r="X64" s="491"/>
      <c r="Y64" s="491"/>
      <c r="Z64" s="491"/>
      <c r="AA64" s="491"/>
      <c r="AB64" s="491"/>
      <c r="AC64" s="491"/>
      <c r="AD64" s="491"/>
      <c r="AE64" s="491"/>
      <c r="AF64" s="491"/>
      <c r="AG64" s="491"/>
      <c r="AH64" s="491"/>
      <c r="AI64" s="491"/>
      <c r="AJ64" s="491"/>
      <c r="AK64" s="491"/>
      <c r="AL64" s="491"/>
      <c r="AM64" s="491"/>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true" outlineLevel="0" max="16" min="16" style="50" width="3.71"/>
    <col collapsed="false" customWidth="true" hidden="false" outlineLevel="0" max="18" min="17" style="414" width="3.71"/>
    <col collapsed="false" customWidth="true" hidden="false" outlineLevel="0" max="19" min="19" style="75" width="12.71"/>
    <col collapsed="false" customWidth="true" hidden="false" outlineLevel="0" max="20" min="20" style="42" width="32"/>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7" width="10.57"/>
    <col collapsed="false" customWidth="true" hidden="false" outlineLevel="0" max="42" min="42" style="47" width="11.14"/>
    <col collapsed="false" customWidth="false" hidden="false" outlineLevel="0" max="44" min="43" style="47" width="10.57"/>
  </cols>
  <sheetData>
    <row r="1" customFormat="false" ht="14.25" hidden="true" customHeight="true" outlineLevel="0" collapsed="false"/>
    <row r="2" customFormat="false" ht="21" hidden="true" customHeight="true" outlineLevel="0" collapsed="false">
      <c r="A2" s="415"/>
      <c r="B2" s="415"/>
      <c r="C2" s="415"/>
      <c r="D2" s="415"/>
      <c r="E2" s="416" t="n">
        <v>1</v>
      </c>
      <c r="F2" s="415"/>
      <c r="G2" s="415"/>
      <c r="H2" s="415"/>
      <c r="I2" s="415"/>
      <c r="J2" s="415"/>
      <c r="K2" s="415"/>
      <c r="L2" s="417"/>
      <c r="M2" s="40"/>
      <c r="N2" s="40"/>
      <c r="O2" s="40"/>
      <c r="Q2" s="131"/>
      <c r="R2" s="418"/>
      <c r="S2" s="419" t="e">
        <f aca="false">INDEX(PT_DIFFERENTIATION_NUM_NTAR,MATCH(A2,PT_DIFFERENTIATION_NTAR_ID,0))</f>
        <v>#N/A</v>
      </c>
      <c r="T2" s="420" t="s">
        <v>130</v>
      </c>
      <c r="U2" s="421"/>
      <c r="V2" s="422"/>
      <c r="W2" s="422"/>
      <c r="X2" s="422"/>
      <c r="Y2" s="422"/>
      <c r="Z2" s="422"/>
      <c r="AA2" s="422"/>
      <c r="AB2" s="422"/>
      <c r="AC2" s="422"/>
      <c r="AD2" s="423" t="e">
        <f aca="false">INDEX(PT_DIFFERENTIATION_NTAR,MATCH(A2,PT_DIFFERENTIATION_NTAR_ID,0))</f>
        <v>#N/A</v>
      </c>
      <c r="AE2" s="423"/>
      <c r="AF2" s="423"/>
      <c r="AG2" s="423"/>
      <c r="AH2" s="423"/>
      <c r="AI2" s="423"/>
      <c r="AJ2" s="423"/>
      <c r="AK2" s="423"/>
      <c r="AL2" s="423"/>
      <c r="AM2" s="424" t="s">
        <v>412</v>
      </c>
      <c r="AO2" s="117"/>
      <c r="AP2" s="117" t="str">
        <f aca="false">IF(T2="","",T2)</f>
        <v>Наименование тарифа</v>
      </c>
      <c r="AQ2" s="117"/>
      <c r="AR2" s="117"/>
    </row>
    <row r="3" customFormat="false" ht="21" hidden="true" customHeight="true" outlineLevel="0" collapsed="false">
      <c r="A3" s="415"/>
      <c r="B3" s="415"/>
      <c r="C3" s="415"/>
      <c r="D3" s="415"/>
      <c r="E3" s="416"/>
      <c r="F3" s="416" t="n">
        <v>1</v>
      </c>
      <c r="G3" s="415"/>
      <c r="H3" s="415"/>
      <c r="I3" s="415"/>
      <c r="J3" s="415"/>
      <c r="K3" s="415"/>
      <c r="L3" s="417"/>
      <c r="M3" s="40"/>
      <c r="N3" s="40"/>
      <c r="O3" s="40"/>
      <c r="P3" s="43"/>
      <c r="Q3" s="425"/>
      <c r="R3" s="426"/>
      <c r="S3" s="419" t="e">
        <f aca="false">INDEX(PT_DIFFERENTIATION_NUM_TER,MATCH(B3,PT_DIFFERENTIATION_TER_ID,0))</f>
        <v>#N/A</v>
      </c>
      <c r="T3" s="427" t="s">
        <v>413</v>
      </c>
      <c r="U3" s="421"/>
      <c r="V3" s="422"/>
      <c r="W3" s="422"/>
      <c r="X3" s="422"/>
      <c r="Y3" s="422"/>
      <c r="Z3" s="422"/>
      <c r="AA3" s="422"/>
      <c r="AB3" s="422"/>
      <c r="AC3" s="422"/>
      <c r="AD3" s="423" t="e">
        <f aca="false">INDEX(PT_DIFFERENTIATION_TER,MATCH(B3,PT_DIFFERENTIATION_TER_ID,0))</f>
        <v>#N/A</v>
      </c>
      <c r="AE3" s="423"/>
      <c r="AF3" s="423"/>
      <c r="AG3" s="423"/>
      <c r="AH3" s="423"/>
      <c r="AI3" s="423"/>
      <c r="AJ3" s="423"/>
      <c r="AK3" s="423"/>
      <c r="AL3" s="423"/>
      <c r="AM3" s="424" t="s">
        <v>414</v>
      </c>
      <c r="AO3" s="117"/>
      <c r="AP3" s="117" t="str">
        <f aca="false">IF(T3="","",T3)</f>
        <v>Территория действия тарифа</v>
      </c>
      <c r="AQ3" s="117"/>
      <c r="AR3" s="117"/>
    </row>
    <row r="4" customFormat="false" ht="23.25" hidden="true" customHeight="true" outlineLevel="0" collapsed="false">
      <c r="A4" s="415"/>
      <c r="B4" s="415"/>
      <c r="C4" s="415"/>
      <c r="D4" s="415"/>
      <c r="E4" s="416"/>
      <c r="F4" s="416"/>
      <c r="G4" s="416" t="n">
        <v>1</v>
      </c>
      <c r="H4" s="415"/>
      <c r="I4" s="415"/>
      <c r="J4" s="415"/>
      <c r="K4" s="415"/>
      <c r="L4" s="417"/>
      <c r="M4" s="40"/>
      <c r="N4" s="40"/>
      <c r="O4" s="40"/>
      <c r="P4" s="428"/>
      <c r="Q4" s="425"/>
      <c r="R4" s="426"/>
      <c r="S4" s="419" t="e">
        <f aca="false">INDEX(PT_DIFFERENTIATION_NUM_CS,MATCH(C4,PT_DIFFERENTIATION_CS_ID,0))</f>
        <v>#N/A</v>
      </c>
      <c r="T4" s="429" t="s">
        <v>415</v>
      </c>
      <c r="U4" s="421"/>
      <c r="V4" s="422"/>
      <c r="W4" s="422"/>
      <c r="X4" s="422"/>
      <c r="Y4" s="422"/>
      <c r="Z4" s="422"/>
      <c r="AA4" s="422"/>
      <c r="AB4" s="422"/>
      <c r="AC4" s="422"/>
      <c r="AD4" s="423" t="e">
        <f aca="false">INDEX(PT_DIFFERENTIATION_CS,MATCH(C4,PT_DIFFERENTIATION_CS_ID,0))</f>
        <v>#N/A</v>
      </c>
      <c r="AE4" s="423"/>
      <c r="AF4" s="423"/>
      <c r="AG4" s="423"/>
      <c r="AH4" s="423"/>
      <c r="AI4" s="423"/>
      <c r="AJ4" s="423"/>
      <c r="AK4" s="423"/>
      <c r="AL4" s="423"/>
      <c r="AM4" s="424" t="s">
        <v>416</v>
      </c>
      <c r="AO4" s="117"/>
      <c r="AP4" s="117" t="str">
        <f aca="false">IF(T4="","",T4)</f>
        <v>Наименование системы теплоснабжения</v>
      </c>
      <c r="AQ4" s="117"/>
      <c r="AR4" s="117"/>
    </row>
    <row r="5" customFormat="false" ht="21" hidden="true" customHeight="true" outlineLevel="0" collapsed="false">
      <c r="A5" s="415"/>
      <c r="B5" s="415"/>
      <c r="C5" s="415"/>
      <c r="D5" s="415"/>
      <c r="E5" s="416"/>
      <c r="F5" s="416"/>
      <c r="G5" s="416"/>
      <c r="H5" s="416" t="n">
        <v>1</v>
      </c>
      <c r="I5" s="415"/>
      <c r="J5" s="415"/>
      <c r="K5" s="415"/>
      <c r="L5" s="417"/>
      <c r="M5" s="40"/>
      <c r="N5" s="40"/>
      <c r="O5" s="40"/>
      <c r="P5" s="428"/>
      <c r="Q5" s="425"/>
      <c r="R5" s="426"/>
      <c r="S5" s="419" t="e">
        <f aca="false">INDEX(PT_DIFFERENTIATION_NUM_IST_TE,MATCH(D5,PT_DIFFERENTIATION_IST_TE_ID,0))</f>
        <v>#N/A</v>
      </c>
      <c r="T5" s="430" t="s">
        <v>417</v>
      </c>
      <c r="U5" s="421"/>
      <c r="V5" s="422"/>
      <c r="W5" s="422"/>
      <c r="X5" s="422"/>
      <c r="Y5" s="422"/>
      <c r="Z5" s="422"/>
      <c r="AA5" s="422"/>
      <c r="AB5" s="422"/>
      <c r="AC5" s="422"/>
      <c r="AD5" s="423" t="e">
        <f aca="false">INDEX(PT_DIFFERENTIATION_IST_TE,MATCH(D5,PT_DIFFERENTIATION_IST_TE_ID,0))</f>
        <v>#N/A</v>
      </c>
      <c r="AE5" s="423"/>
      <c r="AF5" s="423"/>
      <c r="AG5" s="423"/>
      <c r="AH5" s="423"/>
      <c r="AI5" s="423"/>
      <c r="AJ5" s="423"/>
      <c r="AK5" s="423"/>
      <c r="AL5" s="423"/>
      <c r="AM5" s="424" t="s">
        <v>418</v>
      </c>
      <c r="AO5" s="117"/>
      <c r="AP5" s="117" t="str">
        <f aca="false">IF(T5="","",T5)</f>
        <v>Источник тепловой энергии</v>
      </c>
      <c r="AQ5" s="117"/>
      <c r="AR5" s="117"/>
    </row>
    <row r="6" customFormat="false" ht="14.25" hidden="true" customHeight="true" outlineLevel="0" collapsed="false">
      <c r="A6" s="415"/>
      <c r="B6" s="415"/>
      <c r="C6" s="415"/>
      <c r="D6" s="415"/>
      <c r="E6" s="416"/>
      <c r="F6" s="416"/>
      <c r="G6" s="416"/>
      <c r="H6" s="416"/>
      <c r="I6" s="431" t="e">
        <f aca="false">S5&amp;".1"</f>
        <v>#N/A</v>
      </c>
      <c r="J6" s="415"/>
      <c r="K6" s="415"/>
      <c r="L6" s="417" t="s">
        <v>419</v>
      </c>
      <c r="M6" s="45"/>
      <c r="P6" s="120" t="n">
        <v>1</v>
      </c>
      <c r="Q6" s="120"/>
      <c r="R6" s="432"/>
      <c r="S6" s="305"/>
      <c r="T6" s="502"/>
      <c r="U6" s="503"/>
      <c r="V6" s="504"/>
      <c r="W6" s="504"/>
      <c r="X6" s="504"/>
      <c r="Y6" s="504"/>
      <c r="Z6" s="504"/>
      <c r="AA6" s="504"/>
      <c r="AB6" s="504"/>
      <c r="AC6" s="504"/>
      <c r="AD6" s="504"/>
      <c r="AE6" s="504"/>
      <c r="AF6" s="504"/>
      <c r="AG6" s="504"/>
      <c r="AH6" s="504"/>
      <c r="AI6" s="504"/>
      <c r="AJ6" s="504"/>
      <c r="AK6" s="504"/>
      <c r="AL6" s="504"/>
      <c r="AM6" s="505"/>
      <c r="AO6" s="117"/>
      <c r="AP6" s="117" t="str">
        <f aca="false">IF(T6="","",T6)</f>
        <v/>
      </c>
      <c r="AQ6" s="117"/>
      <c r="AR6" s="117"/>
    </row>
    <row r="7" customFormat="false" ht="21" hidden="true" customHeight="true" outlineLevel="0" collapsed="false">
      <c r="A7" s="415"/>
      <c r="B7" s="415"/>
      <c r="C7" s="415"/>
      <c r="D7" s="415"/>
      <c r="E7" s="416"/>
      <c r="F7" s="416"/>
      <c r="G7" s="416"/>
      <c r="H7" s="416"/>
      <c r="I7" s="431"/>
      <c r="J7" s="431" t="e">
        <f aca="false">I6&amp;".1"</f>
        <v>#N/A</v>
      </c>
      <c r="K7" s="415"/>
      <c r="L7" s="417" t="s">
        <v>422</v>
      </c>
      <c r="M7" s="45"/>
      <c r="N7" s="45"/>
      <c r="P7" s="120"/>
      <c r="Q7" s="120" t="n">
        <v>1</v>
      </c>
      <c r="R7" s="435"/>
      <c r="S7" s="419" t="e">
        <f aca="false">$J7</f>
        <v>#N/A</v>
      </c>
      <c r="T7" s="436" t="s">
        <v>423</v>
      </c>
      <c r="U7" s="421"/>
      <c r="V7" s="434"/>
      <c r="W7" s="434"/>
      <c r="X7" s="434"/>
      <c r="Y7" s="434"/>
      <c r="Z7" s="434"/>
      <c r="AA7" s="434"/>
      <c r="AB7" s="434"/>
      <c r="AC7" s="434"/>
      <c r="AD7" s="434"/>
      <c r="AE7" s="434"/>
      <c r="AF7" s="434"/>
      <c r="AG7" s="434"/>
      <c r="AH7" s="434"/>
      <c r="AI7" s="434"/>
      <c r="AJ7" s="434"/>
      <c r="AK7" s="434"/>
      <c r="AL7" s="434"/>
      <c r="AM7" s="424" t="s">
        <v>424</v>
      </c>
      <c r="AO7" s="117"/>
      <c r="AP7" s="117" t="str">
        <f aca="false">IF(T7="","",T7)</f>
        <v>Группа потребителей</v>
      </c>
      <c r="AQ7" s="117"/>
      <c r="AR7" s="117"/>
    </row>
    <row r="8" customFormat="false" ht="21" hidden="true" customHeight="true" outlineLevel="0" collapsed="false">
      <c r="A8" s="415"/>
      <c r="B8" s="415"/>
      <c r="C8" s="415"/>
      <c r="D8" s="415"/>
      <c r="E8" s="416"/>
      <c r="F8" s="416"/>
      <c r="G8" s="416"/>
      <c r="H8" s="416"/>
      <c r="I8" s="431"/>
      <c r="J8" s="431"/>
      <c r="K8" s="431" t="e">
        <f aca="false">J7&amp;".1"</f>
        <v>#N/A</v>
      </c>
      <c r="L8" s="417" t="s">
        <v>425</v>
      </c>
      <c r="M8" s="45"/>
      <c r="N8" s="45"/>
      <c r="O8" s="45"/>
      <c r="P8" s="120"/>
      <c r="Q8" s="120"/>
      <c r="R8" s="435" t="n">
        <v>1</v>
      </c>
      <c r="S8" s="419" t="e">
        <f aca="false">$K8</f>
        <v>#N/A</v>
      </c>
      <c r="T8" s="437"/>
      <c r="U8" s="421"/>
      <c r="V8" s="438"/>
      <c r="W8" s="439"/>
      <c r="X8" s="438"/>
      <c r="Y8" s="440"/>
      <c r="Z8" s="441"/>
      <c r="AA8" s="203" t="s">
        <v>63</v>
      </c>
      <c r="AB8" s="441"/>
      <c r="AC8" s="203" t="s">
        <v>63</v>
      </c>
      <c r="AD8" s="438"/>
      <c r="AE8" s="439"/>
      <c r="AF8" s="438"/>
      <c r="AG8" s="440"/>
      <c r="AH8" s="441"/>
      <c r="AI8" s="203" t="s">
        <v>63</v>
      </c>
      <c r="AJ8" s="441"/>
      <c r="AK8" s="203" t="s">
        <v>63</v>
      </c>
      <c r="AL8" s="439"/>
      <c r="AM8" s="442" t="s">
        <v>426</v>
      </c>
      <c r="AN8" s="47" t="e">
        <f aca="false">strcheckdate(V9:AL9)</f>
        <v>#NAME?</v>
      </c>
      <c r="AO8" s="117"/>
      <c r="AP8" s="117" t="str">
        <f aca="false">IF(T8="","",T8)</f>
        <v/>
      </c>
      <c r="AQ8" s="117"/>
      <c r="AR8" s="117"/>
    </row>
    <row r="9" customFormat="false" ht="0.75" hidden="true" customHeight="true" outlineLevel="0" collapsed="false">
      <c r="A9" s="415"/>
      <c r="B9" s="415"/>
      <c r="C9" s="415"/>
      <c r="D9" s="415"/>
      <c r="E9" s="416"/>
      <c r="F9" s="416"/>
      <c r="G9" s="416"/>
      <c r="H9" s="416"/>
      <c r="I9" s="431"/>
      <c r="J9" s="431"/>
      <c r="K9" s="431"/>
      <c r="L9" s="417"/>
      <c r="M9" s="45"/>
      <c r="N9" s="45"/>
      <c r="O9" s="45"/>
      <c r="P9" s="120"/>
      <c r="Q9" s="120"/>
      <c r="R9" s="435"/>
      <c r="S9" s="396"/>
      <c r="T9" s="421"/>
      <c r="U9" s="421"/>
      <c r="V9" s="439"/>
      <c r="W9" s="439"/>
      <c r="X9" s="439"/>
      <c r="Y9" s="443" t="str">
        <f aca="false">Z8&amp;"-"&amp;AB8</f>
        <v>-</v>
      </c>
      <c r="Z9" s="441"/>
      <c r="AA9" s="203"/>
      <c r="AB9" s="441"/>
      <c r="AC9" s="203"/>
      <c r="AD9" s="439"/>
      <c r="AE9" s="439"/>
      <c r="AF9" s="439"/>
      <c r="AG9" s="443" t="str">
        <f aca="false">AH8&amp;"-"&amp;AJ8</f>
        <v>-</v>
      </c>
      <c r="AH9" s="441"/>
      <c r="AI9" s="203"/>
      <c r="AJ9" s="441"/>
      <c r="AK9" s="203"/>
      <c r="AL9" s="439"/>
      <c r="AM9" s="442"/>
      <c r="AO9" s="117"/>
      <c r="AP9" s="117" t="str">
        <f aca="false">IF(T9="","",T9)</f>
        <v/>
      </c>
      <c r="AQ9" s="117"/>
      <c r="AR9" s="117"/>
    </row>
    <row r="10" customFormat="false" ht="15" hidden="true" customHeight="true" outlineLevel="0" collapsed="false">
      <c r="A10" s="415"/>
      <c r="B10" s="415"/>
      <c r="C10" s="415"/>
      <c r="D10" s="415"/>
      <c r="E10" s="416"/>
      <c r="F10" s="416"/>
      <c r="G10" s="416"/>
      <c r="H10" s="416"/>
      <c r="I10" s="431"/>
      <c r="J10" s="431"/>
      <c r="K10" s="415"/>
      <c r="L10" s="417"/>
      <c r="M10" s="45"/>
      <c r="N10" s="45"/>
      <c r="P10" s="120"/>
      <c r="Q10" s="120"/>
      <c r="R10" s="432"/>
      <c r="S10" s="444"/>
      <c r="T10" s="447" t="s">
        <v>427</v>
      </c>
      <c r="U10" s="193"/>
      <c r="V10" s="193"/>
      <c r="W10" s="193"/>
      <c r="X10" s="193"/>
      <c r="Y10" s="193"/>
      <c r="Z10" s="193"/>
      <c r="AA10" s="193"/>
      <c r="AB10" s="193"/>
      <c r="AC10" s="193"/>
      <c r="AD10" s="193"/>
      <c r="AE10" s="193"/>
      <c r="AF10" s="193"/>
      <c r="AG10" s="193"/>
      <c r="AH10" s="193"/>
      <c r="AI10" s="193"/>
      <c r="AJ10" s="193"/>
      <c r="AK10" s="193"/>
      <c r="AL10" s="446"/>
      <c r="AM10" s="442"/>
      <c r="AO10" s="117"/>
      <c r="AP10" s="117" t="str">
        <f aca="false">IF(T10="","",T10)</f>
        <v>Добавить вид теплоносителя (параметры теплоносителя)</v>
      </c>
      <c r="AQ10" s="117"/>
      <c r="AR10" s="117"/>
    </row>
    <row r="11" customFormat="false" ht="15" hidden="true" customHeight="true" outlineLevel="0" collapsed="false">
      <c r="A11" s="415"/>
      <c r="B11" s="415"/>
      <c r="C11" s="415"/>
      <c r="D11" s="415"/>
      <c r="E11" s="416"/>
      <c r="F11" s="416"/>
      <c r="G11" s="416"/>
      <c r="H11" s="416"/>
      <c r="I11" s="431"/>
      <c r="J11" s="415"/>
      <c r="K11" s="415"/>
      <c r="L11" s="417"/>
      <c r="M11" s="45"/>
      <c r="P11" s="120"/>
      <c r="Q11" s="120"/>
      <c r="R11" s="432"/>
      <c r="S11" s="444"/>
      <c r="T11" s="451" t="s">
        <v>428</v>
      </c>
      <c r="U11" s="193"/>
      <c r="V11" s="193"/>
      <c r="W11" s="193"/>
      <c r="X11" s="193"/>
      <c r="Y11" s="193"/>
      <c r="Z11" s="193"/>
      <c r="AA11" s="193"/>
      <c r="AB11" s="193"/>
      <c r="AC11" s="448"/>
      <c r="AD11" s="193"/>
      <c r="AE11" s="193"/>
      <c r="AF11" s="193"/>
      <c r="AG11" s="193"/>
      <c r="AH11" s="193"/>
      <c r="AI11" s="193"/>
      <c r="AJ11" s="193"/>
      <c r="AK11" s="448"/>
      <c r="AL11" s="193"/>
      <c r="AM11" s="449"/>
      <c r="AO11" s="117"/>
      <c r="AP11" s="117" t="str">
        <f aca="false">IF(T11="","",T11)</f>
        <v>Добавить группу потребителей</v>
      </c>
      <c r="AQ11" s="117"/>
      <c r="AR11" s="117"/>
    </row>
    <row r="12" customFormat="false" ht="14.25" hidden="true" customHeight="true" outlineLevel="0" collapsed="false">
      <c r="A12" s="415"/>
      <c r="B12" s="415"/>
      <c r="C12" s="415"/>
      <c r="D12" s="415"/>
      <c r="E12" s="416"/>
      <c r="F12" s="416"/>
      <c r="G12" s="416"/>
      <c r="H12" s="416"/>
      <c r="I12" s="415"/>
      <c r="J12" s="415"/>
      <c r="K12" s="415"/>
      <c r="L12" s="417"/>
      <c r="M12" s="40"/>
      <c r="N12" s="40"/>
      <c r="O12" s="45"/>
      <c r="P12" s="131"/>
      <c r="Q12" s="450"/>
      <c r="R12" s="418"/>
      <c r="S12" s="506"/>
      <c r="T12" s="507"/>
      <c r="U12" s="508"/>
      <c r="V12" s="508"/>
      <c r="W12" s="508"/>
      <c r="X12" s="508"/>
      <c r="Y12" s="508"/>
      <c r="Z12" s="508"/>
      <c r="AA12" s="508"/>
      <c r="AB12" s="508"/>
      <c r="AC12" s="508"/>
      <c r="AD12" s="508"/>
      <c r="AE12" s="508"/>
      <c r="AF12" s="508"/>
      <c r="AG12" s="508"/>
      <c r="AH12" s="508"/>
      <c r="AI12" s="508"/>
      <c r="AJ12" s="508"/>
      <c r="AK12" s="508"/>
      <c r="AL12" s="508"/>
      <c r="AM12" s="509"/>
      <c r="AO12" s="117"/>
      <c r="AP12" s="117" t="str">
        <f aca="false">IF(T12="","",T12)</f>
        <v/>
      </c>
      <c r="AQ12" s="117"/>
      <c r="AR12" s="117"/>
    </row>
    <row r="13" s="47" customFormat="true" ht="0.75" hidden="true" customHeight="true" outlineLevel="0" collapsed="false">
      <c r="A13" s="121"/>
      <c r="B13" s="121"/>
      <c r="C13" s="121"/>
      <c r="D13" s="121"/>
      <c r="E13" s="416"/>
      <c r="F13" s="416"/>
      <c r="G13" s="416"/>
      <c r="H13" s="121"/>
      <c r="I13" s="121"/>
      <c r="J13" s="121"/>
      <c r="K13" s="121"/>
      <c r="L13" s="191"/>
      <c r="M13" s="46"/>
      <c r="N13" s="46"/>
      <c r="P13" s="155"/>
      <c r="Q13" s="452"/>
      <c r="R13" s="155"/>
      <c r="S13" s="453"/>
      <c r="T13" s="454" t="s">
        <v>430</v>
      </c>
      <c r="U13" s="455"/>
      <c r="V13" s="455"/>
      <c r="W13" s="455"/>
      <c r="X13" s="455"/>
      <c r="Y13" s="455"/>
      <c r="Z13" s="455"/>
      <c r="AA13" s="455"/>
      <c r="AB13" s="455"/>
      <c r="AC13" s="455"/>
      <c r="AD13" s="455"/>
      <c r="AE13" s="455"/>
      <c r="AF13" s="455"/>
      <c r="AG13" s="455"/>
      <c r="AH13" s="455"/>
      <c r="AI13" s="455"/>
      <c r="AJ13" s="455"/>
      <c r="AK13" s="455"/>
      <c r="AL13" s="455"/>
      <c r="AM13" s="455"/>
      <c r="AO13" s="117"/>
      <c r="AP13" s="117" t="str">
        <f aca="false">IF(T13="","",T13)</f>
        <v>Добавить источник для дифференциации</v>
      </c>
      <c r="AQ13" s="117"/>
      <c r="AR13" s="117"/>
    </row>
    <row r="14" s="47" customFormat="true" ht="0.75" hidden="true" customHeight="true" outlineLevel="0" collapsed="false">
      <c r="A14" s="121"/>
      <c r="B14" s="121"/>
      <c r="C14" s="121"/>
      <c r="D14" s="121"/>
      <c r="E14" s="416"/>
      <c r="F14" s="416"/>
      <c r="G14" s="121"/>
      <c r="H14" s="121"/>
      <c r="I14" s="121"/>
      <c r="J14" s="121"/>
      <c r="K14" s="121"/>
      <c r="L14" s="191"/>
      <c r="M14" s="456"/>
      <c r="N14" s="456"/>
      <c r="P14" s="155"/>
      <c r="Q14" s="452"/>
      <c r="R14" s="155"/>
      <c r="S14" s="457"/>
      <c r="T14" s="458" t="s">
        <v>261</v>
      </c>
      <c r="U14" s="459"/>
      <c r="V14" s="459"/>
      <c r="W14" s="459"/>
      <c r="X14" s="459"/>
      <c r="Y14" s="459"/>
      <c r="Z14" s="459"/>
      <c r="AA14" s="459"/>
      <c r="AB14" s="459"/>
      <c r="AC14" s="459"/>
      <c r="AD14" s="459"/>
      <c r="AE14" s="459"/>
      <c r="AF14" s="459"/>
      <c r="AG14" s="459"/>
      <c r="AH14" s="459"/>
      <c r="AI14" s="459"/>
      <c r="AJ14" s="459"/>
      <c r="AK14" s="459"/>
      <c r="AL14" s="459"/>
      <c r="AM14" s="459"/>
      <c r="AO14" s="117"/>
      <c r="AP14" s="117" t="str">
        <f aca="false">IF(T14="","",T14)</f>
        <v>Добавить централизованную систему для дифференциации</v>
      </c>
      <c r="AQ14" s="117"/>
      <c r="AR14" s="117"/>
    </row>
    <row r="15" s="47" customFormat="true" ht="0.75" hidden="true" customHeight="true" outlineLevel="0" collapsed="false">
      <c r="A15" s="121"/>
      <c r="B15" s="121"/>
      <c r="C15" s="121"/>
      <c r="D15" s="121"/>
      <c r="E15" s="416"/>
      <c r="F15" s="121"/>
      <c r="G15" s="121"/>
      <c r="H15" s="121"/>
      <c r="I15" s="121"/>
      <c r="J15" s="121"/>
      <c r="K15" s="121"/>
      <c r="L15" s="191"/>
      <c r="M15" s="456"/>
      <c r="N15" s="456"/>
      <c r="P15" s="155"/>
      <c r="Q15" s="452"/>
      <c r="R15" s="155"/>
      <c r="S15" s="457"/>
      <c r="T15" s="460" t="s">
        <v>268</v>
      </c>
      <c r="U15" s="459"/>
      <c r="V15" s="459"/>
      <c r="W15" s="459"/>
      <c r="X15" s="459"/>
      <c r="Y15" s="459"/>
      <c r="Z15" s="459"/>
      <c r="AA15" s="459"/>
      <c r="AB15" s="459"/>
      <c r="AC15" s="459"/>
      <c r="AD15" s="459"/>
      <c r="AE15" s="459"/>
      <c r="AF15" s="459"/>
      <c r="AG15" s="459"/>
      <c r="AH15" s="459"/>
      <c r="AI15" s="459"/>
      <c r="AJ15" s="459"/>
      <c r="AK15" s="459"/>
      <c r="AL15" s="459"/>
      <c r="AM15" s="459"/>
      <c r="AO15" s="117"/>
      <c r="AP15" s="117" t="str">
        <f aca="false">IF(T15="","",T15)</f>
        <v>Добавить территорию для дифференциации</v>
      </c>
      <c r="AQ15" s="117"/>
      <c r="AR15" s="117"/>
    </row>
    <row r="16" customFormat="false" ht="14.25" hidden="true" customHeight="true" outlineLevel="0" collapsed="false"/>
    <row r="17" customFormat="false" ht="14.25" hidden="true" customHeight="true" outlineLevel="0" collapsed="false">
      <c r="AD17" s="461"/>
      <c r="AE17" s="461"/>
      <c r="AF17" s="461"/>
      <c r="AG17" s="462"/>
      <c r="AH17" s="463"/>
      <c r="AI17" s="464" t="s">
        <v>63</v>
      </c>
      <c r="AJ17" s="463"/>
      <c r="AK17" s="464" t="s">
        <v>63</v>
      </c>
    </row>
    <row r="18" customFormat="false" ht="14.25" hidden="true" customHeight="true" outlineLevel="0" collapsed="false">
      <c r="AD18" s="461"/>
      <c r="AE18" s="461"/>
      <c r="AF18" s="461"/>
      <c r="AG18" s="443" t="str">
        <f aca="false">AH17&amp;"-"&amp;AJ17</f>
        <v>-</v>
      </c>
      <c r="AH18" s="463"/>
      <c r="AI18" s="463"/>
      <c r="AJ18" s="463"/>
      <c r="AK18" s="463"/>
    </row>
    <row r="19" customFormat="false" ht="14.25" hidden="true" customHeight="true" outlineLevel="0" collapsed="false"/>
    <row r="20" s="45" customFormat="true" ht="22.5" hidden="true" customHeight="true" outlineLevel="0" collapsed="false">
      <c r="L20" s="44"/>
      <c r="M20" s="51"/>
      <c r="N20" s="51"/>
      <c r="O20" s="465" t="s">
        <v>431</v>
      </c>
      <c r="P20" s="51"/>
      <c r="Q20" s="466"/>
      <c r="R20" s="466"/>
      <c r="S20" s="40"/>
      <c r="Z20" s="465"/>
      <c r="AB20" s="465"/>
      <c r="AH20" s="465"/>
      <c r="AJ20" s="465"/>
      <c r="AN20" s="47"/>
      <c r="AO20" s="47"/>
      <c r="AP20" s="47"/>
      <c r="AQ20" s="47"/>
      <c r="AR20" s="47"/>
    </row>
    <row r="21" s="45" customFormat="true" ht="14.25" hidden="true" customHeight="true" outlineLevel="0" collapsed="false">
      <c r="L21" s="44"/>
      <c r="M21" s="51"/>
      <c r="N21" s="51"/>
      <c r="O21" s="51"/>
      <c r="P21" s="51"/>
      <c r="Q21" s="466"/>
      <c r="R21" s="466"/>
      <c r="S21" s="40"/>
      <c r="AN21" s="47"/>
      <c r="AO21" s="47"/>
      <c r="AP21" s="47"/>
      <c r="AQ21" s="47"/>
      <c r="AR21" s="47"/>
    </row>
    <row r="22" s="45" customFormat="true" ht="14.25" hidden="true" customHeight="true" outlineLevel="0" collapsed="false">
      <c r="L22" s="44"/>
      <c r="M22" s="51"/>
      <c r="N22" s="51"/>
      <c r="O22" s="417" t="s">
        <v>432</v>
      </c>
      <c r="P22" s="51"/>
      <c r="Q22" s="466"/>
      <c r="R22" s="466"/>
      <c r="S22" s="40"/>
      <c r="T22" s="45" t="s">
        <v>433</v>
      </c>
      <c r="AA22" s="139" t="s">
        <v>434</v>
      </c>
      <c r="AC22" s="139" t="s">
        <v>435</v>
      </c>
      <c r="AD22" s="45" t="s">
        <v>433</v>
      </c>
      <c r="AI22" s="139" t="s">
        <v>436</v>
      </c>
      <c r="AK22" s="139" t="s">
        <v>435</v>
      </c>
      <c r="AN22" s="47"/>
      <c r="AO22" s="47"/>
      <c r="AP22" s="47"/>
      <c r="AQ22" s="47"/>
      <c r="AR22" s="47"/>
    </row>
    <row r="23" customFormat="false" ht="14.25" hidden="true" customHeight="true" outlineLevel="0" collapsed="false">
      <c r="O23" s="417"/>
    </row>
    <row r="24" customFormat="false" ht="14.25" hidden="true" customHeight="true" outlineLevel="0" collapsed="false">
      <c r="O24" s="417"/>
    </row>
    <row r="25" customFormat="false" ht="14.25" hidden="false" customHeight="true" outlineLevel="0" collapsed="false">
      <c r="Q25" s="467"/>
      <c r="R25" s="467"/>
      <c r="S25" s="468"/>
      <c r="T25" s="79"/>
      <c r="U25" s="79"/>
    </row>
    <row r="26" customFormat="false" ht="51" hidden="false" customHeight="true" outlineLevel="0" collapsed="false">
      <c r="Q26" s="467"/>
      <c r="R26" s="467"/>
      <c r="S26" s="212"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
      <c r="U26" s="212"/>
      <c r="V26" s="212"/>
      <c r="W26" s="212"/>
      <c r="X26" s="212"/>
      <c r="Y26" s="212"/>
      <c r="Z26" s="212"/>
      <c r="AA26" s="212"/>
      <c r="AB26" s="212"/>
      <c r="AC26" s="212"/>
      <c r="AD26" s="212"/>
      <c r="AE26" s="212"/>
      <c r="AF26" s="212"/>
      <c r="AG26" s="212"/>
      <c r="AH26" s="212"/>
      <c r="AI26" s="212"/>
      <c r="AJ26" s="212"/>
      <c r="AK26" s="214"/>
    </row>
    <row r="27" customFormat="false" ht="14.25" hidden="false" customHeight="true" outlineLevel="0" collapsed="false">
      <c r="Q27" s="467"/>
      <c r="R27" s="467"/>
      <c r="S27" s="265" t="str">
        <f aca="false">IF(org=0,"Не определено",org)</f>
        <v>ООО "Газпром теплоэнерго Ярославль"</v>
      </c>
      <c r="T27" s="265"/>
      <c r="U27" s="265"/>
      <c r="V27" s="265"/>
      <c r="W27" s="265"/>
      <c r="X27" s="265"/>
      <c r="Y27" s="265"/>
      <c r="Z27" s="265"/>
      <c r="AA27" s="265"/>
      <c r="AB27" s="265"/>
      <c r="AC27" s="265"/>
      <c r="AD27" s="265"/>
      <c r="AE27" s="265"/>
      <c r="AF27" s="265"/>
      <c r="AG27" s="265"/>
      <c r="AH27" s="265"/>
      <c r="AI27" s="265"/>
      <c r="AJ27" s="265"/>
      <c r="AK27" s="214"/>
    </row>
    <row r="28" customFormat="false" ht="14.25" hidden="false" customHeight="true" outlineLevel="0" collapsed="false">
      <c r="Q28" s="467"/>
      <c r="R28" s="467"/>
      <c r="S28" s="468"/>
      <c r="T28" s="79"/>
      <c r="U28" s="79"/>
      <c r="V28" s="469"/>
      <c r="W28" s="469"/>
      <c r="X28" s="469"/>
      <c r="Y28" s="469"/>
      <c r="Z28" s="469"/>
      <c r="AA28" s="469"/>
      <c r="AB28" s="469"/>
      <c r="AC28" s="469"/>
      <c r="AD28" s="469"/>
      <c r="AE28" s="469"/>
      <c r="AF28" s="469"/>
      <c r="AG28" s="469"/>
      <c r="AH28" s="469"/>
      <c r="AI28" s="469"/>
      <c r="AJ28" s="469"/>
      <c r="AK28" s="469"/>
    </row>
    <row r="29" s="174" customFormat="true" ht="25.5" hidden="false" customHeight="true" outlineLevel="0" collapsed="false">
      <c r="A29" s="139"/>
      <c r="B29" s="139"/>
      <c r="C29" s="139"/>
      <c r="D29" s="139"/>
      <c r="E29" s="139"/>
      <c r="F29" s="139"/>
      <c r="G29" s="139"/>
      <c r="H29" s="139"/>
      <c r="I29" s="139"/>
      <c r="J29" s="139"/>
      <c r="K29" s="139"/>
      <c r="L29" s="417"/>
      <c r="M29" s="139"/>
      <c r="N29" s="139"/>
      <c r="O29" s="139"/>
      <c r="S29" s="470" t="s">
        <v>37</v>
      </c>
      <c r="T29" s="470"/>
      <c r="U29" s="471"/>
      <c r="V29" s="472" t="str">
        <f aca="false">IF(TITLE_NAME_OR_PR_CHANGE="",IF(TITLE_NAME_OR_PR="","",TITLE_NAME_OR_PR),TITLE_NAME_OR_PR_CHANGE)</f>
        <v>Министерство тарифного регулирования Ярославской области</v>
      </c>
      <c r="W29" s="472"/>
      <c r="X29" s="472"/>
      <c r="Y29" s="472"/>
      <c r="Z29" s="472"/>
      <c r="AA29" s="472"/>
      <c r="AB29" s="472"/>
      <c r="AC29" s="42"/>
      <c r="AD29" s="472" t="str">
        <f aca="false">IF(TITLE_NAME_OR_PR_CHANGE="",IF(TITLE_NAME_OR_PR="","",TITLE_NAME_OR_PR),TITLE_NAME_OR_PR_CHANGE)</f>
        <v>Министерство тарифного регулирования Ярославской области</v>
      </c>
      <c r="AE29" s="472"/>
      <c r="AF29" s="472"/>
      <c r="AG29" s="472"/>
      <c r="AH29" s="472"/>
      <c r="AI29" s="472"/>
      <c r="AJ29" s="472"/>
      <c r="AK29" s="42"/>
      <c r="AL29" s="42"/>
      <c r="AM29" s="473"/>
      <c r="AN29" s="117"/>
      <c r="AO29" s="117"/>
      <c r="AP29" s="117"/>
      <c r="AQ29" s="117"/>
      <c r="AR29" s="117"/>
    </row>
    <row r="30" s="174" customFormat="true" ht="18.75" hidden="false" customHeight="true" outlineLevel="0" collapsed="false">
      <c r="A30" s="139"/>
      <c r="B30" s="139"/>
      <c r="C30" s="139"/>
      <c r="D30" s="139"/>
      <c r="E30" s="139"/>
      <c r="F30" s="139"/>
      <c r="G30" s="139"/>
      <c r="H30" s="139"/>
      <c r="I30" s="139"/>
      <c r="J30" s="139"/>
      <c r="K30" s="139"/>
      <c r="L30" s="417"/>
      <c r="M30" s="139"/>
      <c r="N30" s="139"/>
      <c r="O30" s="139"/>
      <c r="S30" s="470" t="s">
        <v>437</v>
      </c>
      <c r="T30" s="470"/>
      <c r="U30" s="471"/>
      <c r="V30" s="474" t="str">
        <f aca="false">IF(TITLE_DATE_PR_CHANGE="",IF(TITLE_DATE_PR="","",TITLE_DATE_PR),TITLE_DATE_PR_CHANGE)</f>
        <v>45279.46460648148</v>
      </c>
      <c r="W30" s="474"/>
      <c r="X30" s="474"/>
      <c r="Y30" s="474"/>
      <c r="Z30" s="474"/>
      <c r="AA30" s="474"/>
      <c r="AB30" s="474"/>
      <c r="AC30" s="42"/>
      <c r="AD30" s="474" t="str">
        <f aca="false">IF(TITLE_DATE_PR_CHANGE="",IF(TITLE_DATE_PR="","",TITLE_DATE_PR),TITLE_DATE_PR_CHANGE)</f>
        <v>45279.46460648148</v>
      </c>
      <c r="AE30" s="474"/>
      <c r="AF30" s="474"/>
      <c r="AG30" s="474"/>
      <c r="AH30" s="474"/>
      <c r="AI30" s="474"/>
      <c r="AJ30" s="474"/>
      <c r="AK30" s="42"/>
      <c r="AL30" s="42"/>
      <c r="AM30" s="473"/>
      <c r="AN30" s="117"/>
      <c r="AO30" s="117"/>
      <c r="AP30" s="117"/>
      <c r="AQ30" s="117"/>
      <c r="AR30" s="117"/>
    </row>
    <row r="31" s="174" customFormat="true" ht="18.75" hidden="false" customHeight="true" outlineLevel="0" collapsed="false">
      <c r="A31" s="139"/>
      <c r="B31" s="139"/>
      <c r="C31" s="139"/>
      <c r="D31" s="139"/>
      <c r="E31" s="139"/>
      <c r="F31" s="139"/>
      <c r="G31" s="139"/>
      <c r="H31" s="139"/>
      <c r="I31" s="139"/>
      <c r="J31" s="139"/>
      <c r="K31" s="139"/>
      <c r="L31" s="417"/>
      <c r="M31" s="139"/>
      <c r="N31" s="139"/>
      <c r="O31" s="139"/>
      <c r="S31" s="470" t="s">
        <v>438</v>
      </c>
      <c r="T31" s="470"/>
      <c r="U31" s="471"/>
      <c r="V31" s="472" t="str">
        <f aca="false">IF(TITLE_NUMBER_PR_CHANGE="",IF(TITLE_NUMBER_PR="","",TITLE_NUMBER_PR),TITLE_NUMBER_PR_CHANGE)</f>
        <v>403-гвс, 404-гвс, 406-гвс</v>
      </c>
      <c r="W31" s="472"/>
      <c r="X31" s="472"/>
      <c r="Y31" s="472"/>
      <c r="Z31" s="472"/>
      <c r="AA31" s="472"/>
      <c r="AB31" s="472"/>
      <c r="AC31" s="42"/>
      <c r="AD31" s="472" t="str">
        <f aca="false">IF(TITLE_NUMBER_PR_CHANGE="",IF(TITLE_NUMBER_PR="","",TITLE_NUMBER_PR),TITLE_NUMBER_PR_CHANGE)</f>
        <v>403-гвс, 404-гвс, 406-гвс</v>
      </c>
      <c r="AE31" s="472"/>
      <c r="AF31" s="472"/>
      <c r="AG31" s="472"/>
      <c r="AH31" s="472"/>
      <c r="AI31" s="472"/>
      <c r="AJ31" s="472"/>
      <c r="AK31" s="42"/>
      <c r="AL31" s="42"/>
      <c r="AM31" s="473"/>
      <c r="AN31" s="117"/>
      <c r="AO31" s="117"/>
      <c r="AP31" s="117"/>
      <c r="AQ31" s="117"/>
      <c r="AR31" s="117"/>
    </row>
    <row r="32" s="174" customFormat="true" ht="18.75" hidden="false" customHeight="true" outlineLevel="0" collapsed="false">
      <c r="A32" s="139"/>
      <c r="B32" s="139"/>
      <c r="C32" s="139"/>
      <c r="D32" s="139"/>
      <c r="E32" s="139"/>
      <c r="F32" s="139"/>
      <c r="G32" s="139"/>
      <c r="H32" s="139"/>
      <c r="I32" s="139"/>
      <c r="J32" s="139"/>
      <c r="K32" s="139"/>
      <c r="L32" s="417"/>
      <c r="M32" s="139"/>
      <c r="N32" s="139"/>
      <c r="O32" s="139"/>
      <c r="S32" s="470" t="s">
        <v>39</v>
      </c>
      <c r="T32" s="470"/>
      <c r="U32" s="471"/>
      <c r="V32" s="472" t="str">
        <f aca="false">IF(TITLE_IST_PUB_CHANGE="",IF(TITLE_IST_PUB="","",TITLE_IST_PUB),TITLE_IST_PUB_CHANGE)</f>
        <v>официальный интернет- портал правовой информации www.pravo.gov.ru</v>
      </c>
      <c r="W32" s="472"/>
      <c r="X32" s="472"/>
      <c r="Y32" s="472"/>
      <c r="Z32" s="472"/>
      <c r="AA32" s="472"/>
      <c r="AB32" s="472"/>
      <c r="AC32" s="42"/>
      <c r="AD32" s="472" t="str">
        <f aca="false">IF(TITLE_IST_PUB_CHANGE="",IF(TITLE_IST_PUB="","",TITLE_IST_PUB),TITLE_IST_PUB_CHANGE)</f>
        <v>официальный интернет- портал правовой информации www.pravo.gov.ru</v>
      </c>
      <c r="AE32" s="472"/>
      <c r="AF32" s="472"/>
      <c r="AG32" s="472"/>
      <c r="AH32" s="472"/>
      <c r="AI32" s="472"/>
      <c r="AJ32" s="472"/>
      <c r="AK32" s="42"/>
      <c r="AL32" s="42"/>
      <c r="AM32" s="473"/>
      <c r="AN32" s="117"/>
      <c r="AO32" s="117"/>
      <c r="AP32" s="117"/>
      <c r="AQ32" s="117"/>
      <c r="AR32" s="117"/>
    </row>
    <row r="33" customFormat="false" ht="14.25" hidden="true" customHeight="true" outlineLevel="0" collapsed="false">
      <c r="Q33" s="467"/>
      <c r="R33" s="467"/>
      <c r="S33" s="468"/>
      <c r="T33" s="79"/>
      <c r="U33" s="79"/>
      <c r="V33" s="469"/>
      <c r="W33" s="469"/>
      <c r="X33" s="469"/>
      <c r="Y33" s="469"/>
      <c r="Z33" s="469"/>
      <c r="AA33" s="469"/>
      <c r="AB33" s="469"/>
      <c r="AC33" s="469"/>
      <c r="AD33" s="469"/>
      <c r="AE33" s="469"/>
      <c r="AF33" s="469"/>
      <c r="AG33" s="469"/>
      <c r="AH33" s="469"/>
      <c r="AI33" s="469"/>
      <c r="AJ33" s="469"/>
      <c r="AK33" s="469"/>
    </row>
    <row r="34" s="174" customFormat="true" ht="18.75" hidden="true" customHeight="true" outlineLevel="0" collapsed="false">
      <c r="A34" s="139"/>
      <c r="B34" s="139"/>
      <c r="C34" s="139"/>
      <c r="D34" s="139"/>
      <c r="E34" s="139"/>
      <c r="F34" s="139"/>
      <c r="G34" s="139"/>
      <c r="H34" s="139"/>
      <c r="I34" s="139"/>
      <c r="J34" s="139"/>
      <c r="K34" s="139"/>
      <c r="L34" s="417"/>
      <c r="M34" s="139"/>
      <c r="N34" s="139"/>
      <c r="O34" s="139"/>
      <c r="S34" s="470" t="s">
        <v>439</v>
      </c>
      <c r="T34" s="470"/>
      <c r="U34" s="471"/>
      <c r="V34" s="474" t="str">
        <f aca="false">IF(TITLE_DATE_PR_CHANGE="",IF(TITLE_DATE_PR="","",TITLE_DATE_PR),TITLE_DATE_PR_CHANGE)</f>
        <v>45279.46460648148</v>
      </c>
      <c r="W34" s="474"/>
      <c r="X34" s="474"/>
      <c r="Y34" s="474"/>
      <c r="Z34" s="474"/>
      <c r="AA34" s="474"/>
      <c r="AB34" s="474"/>
      <c r="AC34" s="42"/>
      <c r="AD34" s="474" t="str">
        <f aca="false">IF(TITLE_DATE_PR_CHANGE="",IF(TITLE_DATE_PR="","",TITLE_DATE_PR),TITLE_DATE_PR_CHANGE)</f>
        <v>45279.46460648148</v>
      </c>
      <c r="AE34" s="474"/>
      <c r="AF34" s="474"/>
      <c r="AG34" s="474"/>
      <c r="AH34" s="474"/>
      <c r="AI34" s="474"/>
      <c r="AJ34" s="474"/>
      <c r="AK34" s="42"/>
      <c r="AL34" s="42"/>
      <c r="AM34" s="473"/>
      <c r="AN34" s="117"/>
      <c r="AO34" s="117"/>
      <c r="AP34" s="117"/>
      <c r="AQ34" s="117"/>
      <c r="AR34" s="117"/>
    </row>
    <row r="35" s="174" customFormat="true" ht="18.75" hidden="true" customHeight="true" outlineLevel="0" collapsed="false">
      <c r="A35" s="139"/>
      <c r="B35" s="139"/>
      <c r="C35" s="139"/>
      <c r="D35" s="139"/>
      <c r="E35" s="139"/>
      <c r="F35" s="139"/>
      <c r="G35" s="139"/>
      <c r="H35" s="139"/>
      <c r="I35" s="139"/>
      <c r="J35" s="139"/>
      <c r="K35" s="139"/>
      <c r="L35" s="417"/>
      <c r="M35" s="139"/>
      <c r="N35" s="139"/>
      <c r="O35" s="139"/>
      <c r="S35" s="470" t="s">
        <v>440</v>
      </c>
      <c r="T35" s="470"/>
      <c r="U35" s="471"/>
      <c r="V35" s="472" t="str">
        <f aca="false">IF(TITLE_NUMBER_PR_CHANGE="",IF(TITLE_NUMBER_PR="","",TITLE_NUMBER_PR),TITLE_NUMBER_PR_CHANGE)</f>
        <v>403-гвс, 404-гвс, 406-гвс</v>
      </c>
      <c r="W35" s="472"/>
      <c r="X35" s="472"/>
      <c r="Y35" s="472"/>
      <c r="Z35" s="472"/>
      <c r="AA35" s="472"/>
      <c r="AB35" s="472"/>
      <c r="AC35" s="42"/>
      <c r="AD35" s="472" t="str">
        <f aca="false">IF(TITLE_NUMBER_PR_CHANGE="",IF(TITLE_NUMBER_PR="","",TITLE_NUMBER_PR),TITLE_NUMBER_PR_CHANGE)</f>
        <v>403-гвс, 404-гвс, 406-гвс</v>
      </c>
      <c r="AE35" s="472"/>
      <c r="AF35" s="472"/>
      <c r="AG35" s="472"/>
      <c r="AH35" s="472"/>
      <c r="AI35" s="472"/>
      <c r="AJ35" s="472"/>
      <c r="AK35" s="42"/>
      <c r="AL35" s="42"/>
      <c r="AM35" s="473"/>
      <c r="AN35" s="117"/>
      <c r="AO35" s="117"/>
      <c r="AP35" s="117"/>
      <c r="AQ35" s="117"/>
      <c r="AR35" s="117"/>
    </row>
    <row r="36" s="174" customFormat="true" ht="12.8" hidden="false" customHeight="false" outlineLevel="0" collapsed="false">
      <c r="A36" s="139"/>
      <c r="B36" s="139"/>
      <c r="C36" s="139"/>
      <c r="D36" s="139"/>
      <c r="E36" s="139"/>
      <c r="F36" s="139"/>
      <c r="G36" s="139"/>
      <c r="H36" s="139"/>
      <c r="I36" s="139"/>
      <c r="J36" s="139"/>
      <c r="K36" s="139"/>
      <c r="L36" s="417"/>
      <c r="M36" s="139"/>
      <c r="N36" s="139"/>
      <c r="O36" s="139"/>
      <c r="S36" s="42"/>
      <c r="T36" s="42"/>
      <c r="U36" s="127"/>
      <c r="V36" s="42"/>
      <c r="W36" s="42"/>
      <c r="X36" s="42"/>
      <c r="Y36" s="42"/>
      <c r="Z36" s="42"/>
      <c r="AA36" s="42"/>
      <c r="AB36" s="42"/>
      <c r="AC36" s="47" t="s">
        <v>441</v>
      </c>
      <c r="AD36" s="42"/>
      <c r="AE36" s="42"/>
      <c r="AF36" s="42"/>
      <c r="AG36" s="42"/>
      <c r="AH36" s="42"/>
      <c r="AI36" s="42"/>
      <c r="AJ36" s="42"/>
      <c r="AK36" s="47" t="s">
        <v>441</v>
      </c>
      <c r="AN36" s="117"/>
      <c r="AO36" s="117"/>
      <c r="AP36" s="117"/>
      <c r="AQ36" s="117"/>
      <c r="AR36" s="117"/>
    </row>
    <row r="37" customFormat="false" ht="14.25" hidden="false" customHeight="true" outlineLevel="0" collapsed="false">
      <c r="Q37" s="467"/>
      <c r="R37" s="467"/>
      <c r="S37" s="468"/>
      <c r="T37" s="79"/>
      <c r="U37" s="475"/>
      <c r="V37" s="476"/>
      <c r="W37" s="476"/>
      <c r="X37" s="476"/>
      <c r="Y37" s="476"/>
      <c r="Z37" s="476"/>
      <c r="AA37" s="476"/>
      <c r="AB37" s="476"/>
      <c r="AC37" s="476"/>
      <c r="AD37" s="476"/>
      <c r="AE37" s="476"/>
      <c r="AF37" s="476"/>
      <c r="AG37" s="476"/>
      <c r="AH37" s="476"/>
      <c r="AI37" s="476"/>
      <c r="AJ37" s="476"/>
      <c r="AK37" s="476"/>
    </row>
    <row r="38" customFormat="false" ht="14.25" hidden="false" customHeight="true" outlineLevel="0" collapsed="false">
      <c r="Q38" s="467"/>
      <c r="R38" s="467"/>
      <c r="S38" s="133" t="s">
        <v>316</v>
      </c>
      <c r="T38" s="133"/>
      <c r="U38" s="133"/>
      <c r="V38" s="133"/>
      <c r="W38" s="133"/>
      <c r="X38" s="133"/>
      <c r="Y38" s="133"/>
      <c r="Z38" s="133"/>
      <c r="AA38" s="133"/>
      <c r="AB38" s="133"/>
      <c r="AC38" s="133"/>
      <c r="AD38" s="133"/>
      <c r="AE38" s="133"/>
      <c r="AF38" s="133"/>
      <c r="AG38" s="133"/>
      <c r="AH38" s="133"/>
      <c r="AI38" s="133"/>
      <c r="AJ38" s="133"/>
      <c r="AK38" s="133"/>
      <c r="AL38" s="133"/>
      <c r="AM38" s="133" t="s">
        <v>317</v>
      </c>
    </row>
    <row r="39" customFormat="false" ht="14.25" hidden="false" customHeight="true" outlineLevel="0" collapsed="false">
      <c r="Q39" s="467"/>
      <c r="R39" s="467"/>
      <c r="S39" s="477" t="s">
        <v>84</v>
      </c>
      <c r="T39" s="394" t="s">
        <v>442</v>
      </c>
      <c r="U39" s="478"/>
      <c r="V39" s="300" t="s">
        <v>443</v>
      </c>
      <c r="W39" s="300"/>
      <c r="X39" s="300"/>
      <c r="Y39" s="300"/>
      <c r="Z39" s="300"/>
      <c r="AA39" s="300"/>
      <c r="AB39" s="300"/>
      <c r="AC39" s="394" t="s">
        <v>444</v>
      </c>
      <c r="AD39" s="300" t="s">
        <v>443</v>
      </c>
      <c r="AE39" s="300"/>
      <c r="AF39" s="300"/>
      <c r="AG39" s="300"/>
      <c r="AH39" s="300"/>
      <c r="AI39" s="300"/>
      <c r="AJ39" s="300"/>
      <c r="AK39" s="394" t="s">
        <v>445</v>
      </c>
      <c r="AL39" s="479" t="s">
        <v>446</v>
      </c>
      <c r="AM39" s="133"/>
    </row>
    <row r="40" customFormat="false" ht="33.75" hidden="false" customHeight="true" outlineLevel="0" collapsed="false">
      <c r="Q40" s="467"/>
      <c r="R40" s="467"/>
      <c r="S40" s="477"/>
      <c r="T40" s="394"/>
      <c r="U40" s="480"/>
      <c r="V40" s="133" t="s">
        <v>447</v>
      </c>
      <c r="W40" s="431"/>
      <c r="X40" s="133" t="s">
        <v>449</v>
      </c>
      <c r="Y40" s="133"/>
      <c r="Z40" s="133" t="s">
        <v>450</v>
      </c>
      <c r="AA40" s="133"/>
      <c r="AB40" s="133"/>
      <c r="AC40" s="394"/>
      <c r="AD40" s="133" t="s">
        <v>463</v>
      </c>
      <c r="AE40" s="431"/>
      <c r="AF40" s="133" t="s">
        <v>449</v>
      </c>
      <c r="AG40" s="133"/>
      <c r="AH40" s="133" t="s">
        <v>450</v>
      </c>
      <c r="AI40" s="133"/>
      <c r="AJ40" s="133"/>
      <c r="AK40" s="394"/>
      <c r="AL40" s="479"/>
      <c r="AM40" s="133"/>
    </row>
    <row r="41" customFormat="false" ht="33.75" hidden="false" customHeight="true" outlineLevel="0" collapsed="false">
      <c r="A41" s="139"/>
      <c r="B41" s="139" t="s">
        <v>142</v>
      </c>
      <c r="C41" s="139" t="s">
        <v>143</v>
      </c>
      <c r="D41" s="139" t="s">
        <v>144</v>
      </c>
      <c r="E41" s="417" t="s">
        <v>451</v>
      </c>
      <c r="F41" s="417" t="s">
        <v>452</v>
      </c>
      <c r="G41" s="417" t="s">
        <v>453</v>
      </c>
      <c r="H41" s="417" t="s">
        <v>454</v>
      </c>
      <c r="I41" s="417" t="s">
        <v>455</v>
      </c>
      <c r="J41" s="417" t="s">
        <v>456</v>
      </c>
      <c r="K41" s="417" t="s">
        <v>457</v>
      </c>
      <c r="L41" s="417" t="s">
        <v>432</v>
      </c>
      <c r="Q41" s="467"/>
      <c r="R41" s="467"/>
      <c r="S41" s="477"/>
      <c r="T41" s="394"/>
      <c r="U41" s="481"/>
      <c r="V41" s="133"/>
      <c r="W41" s="431"/>
      <c r="X41" s="184" t="s">
        <v>458</v>
      </c>
      <c r="Y41" s="184" t="s">
        <v>459</v>
      </c>
      <c r="Z41" s="184" t="s">
        <v>460</v>
      </c>
      <c r="AA41" s="184" t="s">
        <v>461</v>
      </c>
      <c r="AB41" s="184"/>
      <c r="AC41" s="394"/>
      <c r="AD41" s="133"/>
      <c r="AE41" s="431"/>
      <c r="AF41" s="184" t="s">
        <v>458</v>
      </c>
      <c r="AG41" s="184" t="s">
        <v>459</v>
      </c>
      <c r="AH41" s="184" t="s">
        <v>460</v>
      </c>
      <c r="AI41" s="184" t="s">
        <v>461</v>
      </c>
      <c r="AJ41" s="184"/>
      <c r="AK41" s="394"/>
      <c r="AL41" s="479"/>
      <c r="AM41" s="133"/>
    </row>
    <row r="42" s="119" customFormat="true" ht="11.25" hidden="true" customHeight="true" outlineLevel="0" collapsed="false">
      <c r="A42" s="139"/>
      <c r="B42" s="139"/>
      <c r="C42" s="139"/>
      <c r="D42" s="139"/>
      <c r="E42" s="139"/>
      <c r="F42" s="139"/>
      <c r="G42" s="139"/>
      <c r="H42" s="139"/>
      <c r="I42" s="139"/>
      <c r="J42" s="139"/>
      <c r="K42" s="139"/>
      <c r="L42" s="417"/>
      <c r="M42" s="51"/>
      <c r="N42" s="51"/>
      <c r="O42" s="51"/>
      <c r="P42" s="482"/>
      <c r="Q42" s="483"/>
      <c r="R42" s="484" t="n">
        <v>1</v>
      </c>
      <c r="S42" s="485" t="s">
        <v>117</v>
      </c>
      <c r="T42" s="486" t="s">
        <v>99</v>
      </c>
      <c r="U42" s="487" t="str">
        <f aca="true">OFFSET(U42,0,-1)</f>
        <v>2</v>
      </c>
      <c r="V42" s="488" t="n">
        <f aca="true">OFFSET(V42,0,-1)+1</f>
        <v>3</v>
      </c>
      <c r="W42" s="488"/>
      <c r="X42" s="488" t="n">
        <f aca="true">OFFSET(X42,0,-1)+1</f>
        <v>1</v>
      </c>
      <c r="Y42" s="488" t="n">
        <f aca="true">OFFSET(Y42,0,-1)+1</f>
        <v>2</v>
      </c>
      <c r="Z42" s="488" t="n">
        <f aca="true">OFFSET(Z42,0,-1)+1</f>
        <v>3</v>
      </c>
      <c r="AA42" s="488" t="n">
        <f aca="true">OFFSET(AA42,0,-1)+1</f>
        <v>4</v>
      </c>
      <c r="AB42" s="488"/>
      <c r="AC42" s="488" t="n">
        <f aca="true">OFFSET(AC42,0,-2)+1</f>
        <v>5</v>
      </c>
      <c r="AD42" s="488" t="n">
        <f aca="true">OFFSET(AD42,0,-1)+1</f>
        <v>6</v>
      </c>
      <c r="AE42" s="488"/>
      <c r="AF42" s="488" t="n">
        <f aca="true">OFFSET(AF42,0,-1)+1</f>
        <v>1</v>
      </c>
      <c r="AG42" s="488" t="n">
        <f aca="true">OFFSET(AG42,0,-1)+1</f>
        <v>2</v>
      </c>
      <c r="AH42" s="488" t="n">
        <f aca="true">OFFSET(AH42,0,-1)+1</f>
        <v>3</v>
      </c>
      <c r="AI42" s="488" t="n">
        <f aca="true">OFFSET(AI42,0,-1)+1</f>
        <v>4</v>
      </c>
      <c r="AJ42" s="488"/>
      <c r="AK42" s="488" t="n">
        <f aca="true">OFFSET(AK42,0,-2)+1</f>
        <v>5</v>
      </c>
      <c r="AL42" s="487" t="n">
        <f aca="true">OFFSET(AL42,0,-1)</f>
        <v>5</v>
      </c>
      <c r="AM42" s="488" t="n">
        <f aca="true">OFFSET(AM42,0,-1)+1</f>
        <v>6</v>
      </c>
      <c r="AN42" s="47"/>
      <c r="AO42" s="47"/>
      <c r="AP42" s="47"/>
      <c r="AQ42" s="47"/>
      <c r="AR42" s="47"/>
    </row>
    <row r="43" customFormat="false" ht="21" hidden="false" customHeight="true" outlineLevel="0" collapsed="false">
      <c r="A43" s="415" t="s">
        <v>175</v>
      </c>
      <c r="B43" s="415"/>
      <c r="C43" s="415"/>
      <c r="D43" s="415"/>
      <c r="E43" s="416" t="n">
        <v>1</v>
      </c>
      <c r="F43" s="415"/>
      <c r="G43" s="415"/>
      <c r="H43" s="415"/>
      <c r="I43" s="415"/>
      <c r="J43" s="415"/>
      <c r="K43" s="415"/>
      <c r="L43" s="417"/>
      <c r="M43" s="40"/>
      <c r="N43" s="40"/>
      <c r="O43" s="40"/>
      <c r="Q43" s="131"/>
      <c r="R43" s="418"/>
      <c r="S43" s="419" t="n">
        <f aca="false">INDEX(PT_DIFFERENTIATION_NUM_NTAR,MATCH(A43,PT_DIFFERENTIATION_NTAR_ID,0))</f>
        <v>0</v>
      </c>
      <c r="T43" s="420" t="s">
        <v>130</v>
      </c>
      <c r="U43" s="421"/>
      <c r="V43" s="422"/>
      <c r="W43" s="422"/>
      <c r="X43" s="422"/>
      <c r="Y43" s="422"/>
      <c r="Z43" s="422"/>
      <c r="AA43" s="422"/>
      <c r="AB43" s="422"/>
      <c r="AC43" s="422"/>
      <c r="AD43" s="423" t="str">
        <f aca="false">INDEX(PT_DIFFERENTIATION_NTAR,MATCH(A43,PT_DIFFERENTIATION_NTAR_ID,0))</f>
        <v/>
      </c>
      <c r="AE43" s="423"/>
      <c r="AF43" s="423"/>
      <c r="AG43" s="423"/>
      <c r="AH43" s="423"/>
      <c r="AI43" s="423"/>
      <c r="AJ43" s="423"/>
      <c r="AK43" s="423"/>
      <c r="AL43" s="423"/>
      <c r="AM43" s="424"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7"/>
      <c r="AP43" s="117" t="str">
        <f aca="false">IF(T43="","",T43)</f>
        <v>Наименование тарифа</v>
      </c>
      <c r="AQ43" s="117"/>
      <c r="AR43" s="117"/>
    </row>
    <row r="44" customFormat="false" ht="21" hidden="false" customHeight="true" outlineLevel="0" collapsed="false">
      <c r="A44" s="415" t="s">
        <v>175</v>
      </c>
      <c r="B44" s="415" t="s">
        <v>176</v>
      </c>
      <c r="C44" s="415"/>
      <c r="D44" s="415"/>
      <c r="E44" s="416"/>
      <c r="F44" s="416" t="n">
        <v>1</v>
      </c>
      <c r="G44" s="415"/>
      <c r="H44" s="415"/>
      <c r="I44" s="415"/>
      <c r="J44" s="415"/>
      <c r="K44" s="415"/>
      <c r="L44" s="417"/>
      <c r="M44" s="40"/>
      <c r="N44" s="40"/>
      <c r="O44" s="40"/>
      <c r="P44" s="43"/>
      <c r="Q44" s="425"/>
      <c r="R44" s="426"/>
      <c r="S44" s="419" t="str">
        <f aca="false">INDEX(PT_DIFFERENTIATION_NUM_TER,MATCH(B44,PT_DIFFERENTIATION_TER_ID,0))</f>
        <v>.</v>
      </c>
      <c r="T44" s="427" t="s">
        <v>413</v>
      </c>
      <c r="U44" s="421"/>
      <c r="V44" s="422"/>
      <c r="W44" s="422"/>
      <c r="X44" s="422"/>
      <c r="Y44" s="422"/>
      <c r="Z44" s="422"/>
      <c r="AA44" s="422"/>
      <c r="AB44" s="422"/>
      <c r="AC44" s="422"/>
      <c r="AD44" s="423" t="str">
        <f aca="false">INDEX(PT_DIFFERENTIATION_TER,MATCH(B44,PT_DIFFERENTIATION_TER_ID,0))</f>
        <v/>
      </c>
      <c r="AE44" s="423"/>
      <c r="AF44" s="423"/>
      <c r="AG44" s="423"/>
      <c r="AH44" s="423"/>
      <c r="AI44" s="423"/>
      <c r="AJ44" s="423"/>
      <c r="AK44" s="423"/>
      <c r="AL44" s="423"/>
      <c r="AM44" s="424" t="s">
        <v>414</v>
      </c>
      <c r="AO44" s="117"/>
      <c r="AP44" s="117" t="str">
        <f aca="false">IF(T44="","",T44)</f>
        <v>Территория действия тарифа</v>
      </c>
      <c r="AQ44" s="117"/>
      <c r="AR44" s="117"/>
    </row>
    <row r="45" customFormat="false" ht="23.25" hidden="false" customHeight="true" outlineLevel="0" collapsed="false">
      <c r="A45" s="415" t="s">
        <v>175</v>
      </c>
      <c r="B45" s="415" t="s">
        <v>176</v>
      </c>
      <c r="C45" s="415" t="s">
        <v>177</v>
      </c>
      <c r="D45" s="415"/>
      <c r="E45" s="416"/>
      <c r="F45" s="416"/>
      <c r="G45" s="416" t="n">
        <v>1</v>
      </c>
      <c r="H45" s="415"/>
      <c r="I45" s="415"/>
      <c r="J45" s="415"/>
      <c r="K45" s="415"/>
      <c r="L45" s="417"/>
      <c r="M45" s="40"/>
      <c r="N45" s="40"/>
      <c r="O45" s="40"/>
      <c r="P45" s="428"/>
      <c r="Q45" s="425"/>
      <c r="R45" s="426"/>
      <c r="S45" s="419" t="str">
        <f aca="false">INDEX(PT_DIFFERENTIATION_NUM_CS,MATCH(C45,PT_DIFFERENTIATION_CS_ID,0))</f>
        <v>..</v>
      </c>
      <c r="T45" s="429" t="s">
        <v>415</v>
      </c>
      <c r="U45" s="421"/>
      <c r="V45" s="422"/>
      <c r="W45" s="422"/>
      <c r="X45" s="422"/>
      <c r="Y45" s="422"/>
      <c r="Z45" s="422"/>
      <c r="AA45" s="422"/>
      <c r="AB45" s="422"/>
      <c r="AC45" s="422"/>
      <c r="AD45" s="423" t="str">
        <f aca="false">INDEX(PT_DIFFERENTIATION_CS,MATCH(C45,PT_DIFFERENTIATION_CS_ID,0))</f>
        <v/>
      </c>
      <c r="AE45" s="423"/>
      <c r="AF45" s="423"/>
      <c r="AG45" s="423"/>
      <c r="AH45" s="423"/>
      <c r="AI45" s="423"/>
      <c r="AJ45" s="423"/>
      <c r="AK45" s="423"/>
      <c r="AL45" s="423"/>
      <c r="AM45" s="424" t="s">
        <v>416</v>
      </c>
      <c r="AO45" s="117"/>
      <c r="AP45" s="117" t="str">
        <f aca="false">IF(T45="","",T45)</f>
        <v>Наименование системы теплоснабжения</v>
      </c>
      <c r="AQ45" s="117"/>
      <c r="AR45" s="117"/>
    </row>
    <row r="46" customFormat="false" ht="21" hidden="false" customHeight="true" outlineLevel="0" collapsed="false">
      <c r="A46" s="415" t="s">
        <v>175</v>
      </c>
      <c r="B46" s="415" t="s">
        <v>176</v>
      </c>
      <c r="C46" s="415" t="s">
        <v>177</v>
      </c>
      <c r="D46" s="415" t="s">
        <v>178</v>
      </c>
      <c r="E46" s="416"/>
      <c r="F46" s="416"/>
      <c r="G46" s="416"/>
      <c r="H46" s="416" t="n">
        <v>1</v>
      </c>
      <c r="I46" s="415"/>
      <c r="J46" s="415"/>
      <c r="K46" s="415"/>
      <c r="L46" s="417"/>
      <c r="M46" s="40"/>
      <c r="N46" s="40"/>
      <c r="O46" s="40"/>
      <c r="P46" s="428"/>
      <c r="Q46" s="425"/>
      <c r="R46" s="426"/>
      <c r="S46" s="419" t="str">
        <f aca="false">INDEX(PT_DIFFERENTIATION_NUM_IST_TE,MATCH(D46,PT_DIFFERENTIATION_IST_TE_ID,0))</f>
        <v>...</v>
      </c>
      <c r="T46" s="430" t="s">
        <v>417</v>
      </c>
      <c r="U46" s="421"/>
      <c r="V46" s="422"/>
      <c r="W46" s="422"/>
      <c r="X46" s="422"/>
      <c r="Y46" s="422"/>
      <c r="Z46" s="422"/>
      <c r="AA46" s="422"/>
      <c r="AB46" s="422"/>
      <c r="AC46" s="422"/>
      <c r="AD46" s="423" t="str">
        <f aca="false">INDEX(PT_DIFFERENTIATION_IST_TE,MATCH(D46,PT_DIFFERENTIATION_IST_TE_ID,0))</f>
        <v/>
      </c>
      <c r="AE46" s="423"/>
      <c r="AF46" s="423"/>
      <c r="AG46" s="423"/>
      <c r="AH46" s="423"/>
      <c r="AI46" s="423"/>
      <c r="AJ46" s="423"/>
      <c r="AK46" s="423"/>
      <c r="AL46" s="423"/>
      <c r="AM46" s="424" t="s">
        <v>418</v>
      </c>
      <c r="AO46" s="117"/>
      <c r="AP46" s="117" t="str">
        <f aca="false">IF(T46="","",T46)</f>
        <v>Источник тепловой энергии</v>
      </c>
      <c r="AQ46" s="117"/>
      <c r="AR46" s="117"/>
    </row>
    <row r="47" s="47" customFormat="true" ht="12.8" hidden="false" customHeight="false" outlineLevel="0" collapsed="false">
      <c r="A47" s="121" t="s">
        <v>175</v>
      </c>
      <c r="B47" s="121" t="s">
        <v>176</v>
      </c>
      <c r="C47" s="121" t="s">
        <v>177</v>
      </c>
      <c r="D47" s="121" t="s">
        <v>178</v>
      </c>
      <c r="E47" s="416"/>
      <c r="F47" s="416"/>
      <c r="G47" s="416"/>
      <c r="H47" s="416"/>
      <c r="I47" s="431" t="str">
        <f aca="false">S46&amp;".1"</f>
        <v>....1</v>
      </c>
      <c r="J47" s="121"/>
      <c r="K47" s="121"/>
      <c r="L47" s="191" t="s">
        <v>419</v>
      </c>
      <c r="M47" s="510"/>
      <c r="N47" s="510"/>
      <c r="O47" s="510"/>
      <c r="P47" s="120" t="n">
        <v>1</v>
      </c>
      <c r="Q47" s="120"/>
      <c r="R47" s="432"/>
      <c r="S47" s="305"/>
      <c r="T47" s="502"/>
      <c r="U47" s="503"/>
      <c r="V47" s="504"/>
      <c r="W47" s="504"/>
      <c r="X47" s="504"/>
      <c r="Y47" s="504"/>
      <c r="Z47" s="504"/>
      <c r="AA47" s="504"/>
      <c r="AB47" s="504"/>
      <c r="AC47" s="504"/>
      <c r="AD47" s="504"/>
      <c r="AE47" s="504"/>
      <c r="AF47" s="504"/>
      <c r="AG47" s="504"/>
      <c r="AH47" s="504"/>
      <c r="AI47" s="504"/>
      <c r="AJ47" s="504"/>
      <c r="AK47" s="504"/>
      <c r="AL47" s="504"/>
      <c r="AM47" s="505"/>
      <c r="AO47" s="117"/>
      <c r="AP47" s="117" t="str">
        <f aca="false">IF(T47="","",T47)</f>
        <v/>
      </c>
      <c r="AQ47" s="117"/>
      <c r="AR47" s="117"/>
    </row>
    <row r="48" customFormat="false" ht="21" hidden="false" customHeight="true" outlineLevel="0" collapsed="false">
      <c r="A48" s="415" t="s">
        <v>175</v>
      </c>
      <c r="B48" s="415" t="s">
        <v>176</v>
      </c>
      <c r="C48" s="415" t="s">
        <v>177</v>
      </c>
      <c r="D48" s="415" t="s">
        <v>178</v>
      </c>
      <c r="E48" s="416"/>
      <c r="F48" s="416"/>
      <c r="G48" s="416"/>
      <c r="H48" s="416"/>
      <c r="I48" s="431"/>
      <c r="J48" s="431" t="str">
        <f aca="false">S46&amp;".1"</f>
        <v>....1</v>
      </c>
      <c r="K48" s="415"/>
      <c r="L48" s="417" t="s">
        <v>422</v>
      </c>
      <c r="P48" s="120"/>
      <c r="Q48" s="120" t="n">
        <v>1</v>
      </c>
      <c r="R48" s="435"/>
      <c r="S48" s="419" t="str">
        <f aca="false">$J48</f>
        <v>....1</v>
      </c>
      <c r="T48" s="436" t="s">
        <v>423</v>
      </c>
      <c r="U48" s="421"/>
      <c r="V48" s="434"/>
      <c r="W48" s="434"/>
      <c r="X48" s="434"/>
      <c r="Y48" s="434"/>
      <c r="Z48" s="434"/>
      <c r="AA48" s="434"/>
      <c r="AB48" s="434"/>
      <c r="AC48" s="434"/>
      <c r="AD48" s="434"/>
      <c r="AE48" s="434"/>
      <c r="AF48" s="434"/>
      <c r="AG48" s="434"/>
      <c r="AH48" s="434"/>
      <c r="AI48" s="434"/>
      <c r="AJ48" s="434"/>
      <c r="AK48" s="434"/>
      <c r="AL48" s="434"/>
      <c r="AM48" s="424" t="s">
        <v>424</v>
      </c>
      <c r="AO48" s="117"/>
      <c r="AP48" s="117" t="str">
        <f aca="false">IF(T48="","",T48)</f>
        <v>Группа потребителей</v>
      </c>
      <c r="AQ48" s="117"/>
      <c r="AR48" s="117"/>
    </row>
    <row r="49" customFormat="false" ht="21" hidden="false" customHeight="true" outlineLevel="0" collapsed="false">
      <c r="A49" s="415" t="s">
        <v>175</v>
      </c>
      <c r="B49" s="415" t="s">
        <v>176</v>
      </c>
      <c r="C49" s="415" t="s">
        <v>177</v>
      </c>
      <c r="D49" s="415" t="s">
        <v>178</v>
      </c>
      <c r="E49" s="416"/>
      <c r="F49" s="416"/>
      <c r="G49" s="416"/>
      <c r="H49" s="416"/>
      <c r="I49" s="431"/>
      <c r="J49" s="431"/>
      <c r="K49" s="431" t="str">
        <f aca="false">J48&amp;".1"</f>
        <v>....1.1</v>
      </c>
      <c r="L49" s="417" t="s">
        <v>425</v>
      </c>
      <c r="P49" s="120"/>
      <c r="Q49" s="120"/>
      <c r="R49" s="435" t="n">
        <v>1</v>
      </c>
      <c r="S49" s="419" t="str">
        <f aca="false">$K49</f>
        <v>....1.1</v>
      </c>
      <c r="T49" s="437"/>
      <c r="U49" s="421"/>
      <c r="V49" s="438"/>
      <c r="W49" s="439"/>
      <c r="X49" s="438"/>
      <c r="Y49" s="440"/>
      <c r="Z49" s="441"/>
      <c r="AA49" s="203" t="s">
        <v>63</v>
      </c>
      <c r="AB49" s="441"/>
      <c r="AC49" s="203" t="s">
        <v>63</v>
      </c>
      <c r="AD49" s="438"/>
      <c r="AE49" s="439"/>
      <c r="AF49" s="438"/>
      <c r="AG49" s="440"/>
      <c r="AH49" s="441"/>
      <c r="AI49" s="203" t="s">
        <v>63</v>
      </c>
      <c r="AJ49" s="441"/>
      <c r="AK49" s="203" t="s">
        <v>63</v>
      </c>
      <c r="AL49" s="489"/>
      <c r="AM49" s="442" t="s">
        <v>464</v>
      </c>
      <c r="AN49" s="47" t="e">
        <f aca="false">strcheckdate(V50:AL50)</f>
        <v>#NAME?</v>
      </c>
      <c r="AO49" s="117"/>
      <c r="AP49" s="117" t="str">
        <f aca="false">IF(T49="","",T49)</f>
        <v/>
      </c>
      <c r="AQ49" s="117"/>
      <c r="AR49" s="117"/>
    </row>
    <row r="50" customFormat="false" ht="0.75" hidden="false" customHeight="true" outlineLevel="0" collapsed="false">
      <c r="A50" s="415" t="s">
        <v>175</v>
      </c>
      <c r="B50" s="415" t="s">
        <v>176</v>
      </c>
      <c r="C50" s="415" t="s">
        <v>177</v>
      </c>
      <c r="D50" s="415" t="s">
        <v>178</v>
      </c>
      <c r="E50" s="416"/>
      <c r="F50" s="416"/>
      <c r="G50" s="416"/>
      <c r="H50" s="416"/>
      <c r="I50" s="431"/>
      <c r="J50" s="431"/>
      <c r="K50" s="431"/>
      <c r="L50" s="417"/>
      <c r="P50" s="120"/>
      <c r="Q50" s="120"/>
      <c r="R50" s="435"/>
      <c r="S50" s="396"/>
      <c r="T50" s="421"/>
      <c r="U50" s="421"/>
      <c r="V50" s="439"/>
      <c r="W50" s="439"/>
      <c r="X50" s="439"/>
      <c r="Y50" s="443" t="str">
        <f aca="false">Z49&amp;"-"&amp;AB49</f>
        <v>-</v>
      </c>
      <c r="Z50" s="441"/>
      <c r="AA50" s="203"/>
      <c r="AB50" s="441"/>
      <c r="AC50" s="203"/>
      <c r="AD50" s="439"/>
      <c r="AE50" s="439"/>
      <c r="AF50" s="439"/>
      <c r="AG50" s="443" t="str">
        <f aca="false">AH49&amp;"-"&amp;AJ49</f>
        <v>-</v>
      </c>
      <c r="AH50" s="441"/>
      <c r="AI50" s="203"/>
      <c r="AJ50" s="441"/>
      <c r="AK50" s="203"/>
      <c r="AL50" s="490"/>
      <c r="AM50" s="442"/>
      <c r="AO50" s="117"/>
      <c r="AP50" s="117" t="str">
        <f aca="false">IF(T50="","",T50)</f>
        <v/>
      </c>
      <c r="AQ50" s="117"/>
      <c r="AR50" s="117"/>
    </row>
    <row r="51" customFormat="false" ht="11.25" hidden="false" customHeight="true" outlineLevel="0" collapsed="false">
      <c r="A51" s="415" t="s">
        <v>175</v>
      </c>
      <c r="B51" s="415" t="s">
        <v>176</v>
      </c>
      <c r="C51" s="415" t="s">
        <v>177</v>
      </c>
      <c r="D51" s="415" t="s">
        <v>178</v>
      </c>
      <c r="E51" s="416"/>
      <c r="F51" s="416"/>
      <c r="G51" s="416"/>
      <c r="H51" s="416"/>
      <c r="I51" s="431"/>
      <c r="J51" s="431"/>
      <c r="K51" s="415"/>
      <c r="L51" s="417"/>
      <c r="P51" s="120"/>
      <c r="Q51" s="120"/>
      <c r="R51" s="432"/>
      <c r="S51" s="444"/>
      <c r="T51" s="447" t="s">
        <v>427</v>
      </c>
      <c r="U51" s="193"/>
      <c r="V51" s="193"/>
      <c r="W51" s="193"/>
      <c r="X51" s="193"/>
      <c r="Y51" s="193"/>
      <c r="Z51" s="193"/>
      <c r="AA51" s="193"/>
      <c r="AB51" s="193"/>
      <c r="AC51" s="193"/>
      <c r="AD51" s="193"/>
      <c r="AE51" s="193"/>
      <c r="AF51" s="193"/>
      <c r="AG51" s="193"/>
      <c r="AH51" s="193"/>
      <c r="AI51" s="193"/>
      <c r="AJ51" s="193"/>
      <c r="AK51" s="193"/>
      <c r="AL51" s="446"/>
      <c r="AM51" s="442"/>
      <c r="AO51" s="117"/>
      <c r="AP51" s="117" t="str">
        <f aca="false">IF(T51="","",T51)</f>
        <v>Добавить вид теплоносителя (параметры теплоносителя)</v>
      </c>
      <c r="AQ51" s="117"/>
      <c r="AR51" s="117"/>
    </row>
    <row r="52" customFormat="false" ht="11.25" hidden="false" customHeight="true" outlineLevel="0" collapsed="false">
      <c r="A52" s="415" t="s">
        <v>175</v>
      </c>
      <c r="B52" s="415" t="s">
        <v>176</v>
      </c>
      <c r="C52" s="415" t="s">
        <v>177</v>
      </c>
      <c r="D52" s="415" t="s">
        <v>178</v>
      </c>
      <c r="E52" s="416"/>
      <c r="F52" s="416"/>
      <c r="G52" s="416"/>
      <c r="H52" s="416"/>
      <c r="I52" s="431"/>
      <c r="J52" s="415"/>
      <c r="K52" s="415"/>
      <c r="L52" s="417"/>
      <c r="P52" s="120"/>
      <c r="Q52" s="120"/>
      <c r="R52" s="432"/>
      <c r="S52" s="444"/>
      <c r="T52" s="451" t="s">
        <v>428</v>
      </c>
      <c r="U52" s="193"/>
      <c r="V52" s="193"/>
      <c r="W52" s="193"/>
      <c r="X52" s="193"/>
      <c r="Y52" s="193"/>
      <c r="Z52" s="193"/>
      <c r="AA52" s="193"/>
      <c r="AB52" s="193"/>
      <c r="AC52" s="448"/>
      <c r="AD52" s="193"/>
      <c r="AE52" s="193"/>
      <c r="AF52" s="193"/>
      <c r="AG52" s="193"/>
      <c r="AH52" s="193"/>
      <c r="AI52" s="193"/>
      <c r="AJ52" s="193"/>
      <c r="AK52" s="448"/>
      <c r="AL52" s="193"/>
      <c r="AM52" s="449"/>
      <c r="AO52" s="117"/>
      <c r="AP52" s="117" t="str">
        <f aca="false">IF(T52="","",T52)</f>
        <v>Добавить группу потребителей</v>
      </c>
      <c r="AQ52" s="117"/>
      <c r="AR52" s="117"/>
    </row>
    <row r="53" customFormat="false" ht="12.8" hidden="false" customHeight="false" outlineLevel="0" collapsed="false">
      <c r="A53" s="415" t="s">
        <v>175</v>
      </c>
      <c r="B53" s="415" t="s">
        <v>176</v>
      </c>
      <c r="C53" s="415" t="s">
        <v>177</v>
      </c>
      <c r="D53" s="415" t="s">
        <v>178</v>
      </c>
      <c r="E53" s="416"/>
      <c r="F53" s="416"/>
      <c r="G53" s="416"/>
      <c r="H53" s="416"/>
      <c r="I53" s="415"/>
      <c r="J53" s="415"/>
      <c r="K53" s="415"/>
      <c r="L53" s="417"/>
      <c r="M53" s="40"/>
      <c r="N53" s="40"/>
      <c r="O53" s="45"/>
      <c r="P53" s="131"/>
      <c r="Q53" s="450"/>
      <c r="R53" s="418"/>
      <c r="S53" s="506"/>
      <c r="T53" s="507"/>
      <c r="U53" s="508"/>
      <c r="V53" s="508"/>
      <c r="W53" s="508"/>
      <c r="X53" s="508"/>
      <c r="Y53" s="508"/>
      <c r="Z53" s="508"/>
      <c r="AA53" s="508"/>
      <c r="AB53" s="508"/>
      <c r="AC53" s="508"/>
      <c r="AD53" s="508"/>
      <c r="AE53" s="508"/>
      <c r="AF53" s="508"/>
      <c r="AG53" s="508"/>
      <c r="AH53" s="508"/>
      <c r="AI53" s="508"/>
      <c r="AJ53" s="508"/>
      <c r="AK53" s="508"/>
      <c r="AL53" s="508"/>
      <c r="AM53" s="509"/>
      <c r="AO53" s="117"/>
      <c r="AP53" s="117" t="str">
        <f aca="false">IF(T53="","",T53)</f>
        <v/>
      </c>
      <c r="AQ53" s="117"/>
      <c r="AR53" s="117"/>
    </row>
    <row r="54" s="47" customFormat="true" ht="0.75" hidden="false" customHeight="true" outlineLevel="0" collapsed="false">
      <c r="A54" s="121" t="s">
        <v>175</v>
      </c>
      <c r="B54" s="121" t="s">
        <v>176</v>
      </c>
      <c r="C54" s="121" t="s">
        <v>177</v>
      </c>
      <c r="D54" s="121"/>
      <c r="E54" s="416"/>
      <c r="F54" s="416"/>
      <c r="G54" s="416"/>
      <c r="H54" s="121"/>
      <c r="I54" s="121"/>
      <c r="J54" s="121"/>
      <c r="K54" s="121"/>
      <c r="L54" s="191"/>
      <c r="M54" s="46"/>
      <c r="N54" s="46"/>
      <c r="P54" s="155"/>
      <c r="Q54" s="452"/>
      <c r="R54" s="155"/>
      <c r="S54" s="457"/>
      <c r="T54" s="460" t="s">
        <v>430</v>
      </c>
      <c r="U54" s="459"/>
      <c r="V54" s="459"/>
      <c r="W54" s="459"/>
      <c r="X54" s="459"/>
      <c r="Y54" s="459"/>
      <c r="Z54" s="459"/>
      <c r="AA54" s="459"/>
      <c r="AB54" s="459"/>
      <c r="AC54" s="459"/>
      <c r="AD54" s="459"/>
      <c r="AE54" s="459"/>
      <c r="AF54" s="459"/>
      <c r="AG54" s="459"/>
      <c r="AH54" s="459"/>
      <c r="AI54" s="459"/>
      <c r="AJ54" s="459"/>
      <c r="AK54" s="459"/>
      <c r="AL54" s="459"/>
      <c r="AM54" s="459"/>
      <c r="AO54" s="117"/>
      <c r="AP54" s="117" t="str">
        <f aca="false">IF(T54="","",T54)</f>
        <v>Добавить источник для дифференциации</v>
      </c>
      <c r="AQ54" s="117"/>
      <c r="AR54" s="117"/>
    </row>
    <row r="55" s="47" customFormat="true" ht="0.75" hidden="false" customHeight="true" outlineLevel="0" collapsed="false">
      <c r="A55" s="121" t="s">
        <v>175</v>
      </c>
      <c r="B55" s="121" t="s">
        <v>176</v>
      </c>
      <c r="C55" s="121"/>
      <c r="D55" s="121"/>
      <c r="E55" s="416"/>
      <c r="F55" s="416"/>
      <c r="G55" s="121"/>
      <c r="H55" s="121"/>
      <c r="I55" s="121"/>
      <c r="J55" s="121"/>
      <c r="K55" s="121"/>
      <c r="L55" s="191"/>
      <c r="M55" s="456"/>
      <c r="N55" s="456"/>
      <c r="P55" s="155"/>
      <c r="Q55" s="452"/>
      <c r="R55" s="155"/>
      <c r="S55" s="457"/>
      <c r="T55" s="460" t="s">
        <v>261</v>
      </c>
      <c r="U55" s="459"/>
      <c r="V55" s="459"/>
      <c r="W55" s="459"/>
      <c r="X55" s="459"/>
      <c r="Y55" s="459"/>
      <c r="Z55" s="459"/>
      <c r="AA55" s="459"/>
      <c r="AB55" s="459"/>
      <c r="AC55" s="459"/>
      <c r="AD55" s="459"/>
      <c r="AE55" s="459"/>
      <c r="AF55" s="459"/>
      <c r="AG55" s="459"/>
      <c r="AH55" s="459"/>
      <c r="AI55" s="459"/>
      <c r="AJ55" s="459"/>
      <c r="AK55" s="459"/>
      <c r="AL55" s="459"/>
      <c r="AM55" s="459"/>
      <c r="AO55" s="117"/>
      <c r="AP55" s="117" t="str">
        <f aca="false">IF(T55="","",T55)</f>
        <v>Добавить централизованную систему для дифференциации</v>
      </c>
      <c r="AQ55" s="117"/>
      <c r="AR55" s="117"/>
    </row>
    <row r="56" s="47" customFormat="true" ht="0.75" hidden="false" customHeight="true" outlineLevel="0" collapsed="false">
      <c r="A56" s="121" t="s">
        <v>175</v>
      </c>
      <c r="B56" s="121"/>
      <c r="C56" s="121"/>
      <c r="D56" s="121"/>
      <c r="E56" s="416"/>
      <c r="F56" s="121"/>
      <c r="G56" s="121"/>
      <c r="H56" s="121"/>
      <c r="I56" s="121"/>
      <c r="J56" s="121"/>
      <c r="K56" s="121"/>
      <c r="L56" s="191"/>
      <c r="M56" s="456"/>
      <c r="N56" s="456"/>
      <c r="P56" s="155"/>
      <c r="Q56" s="452"/>
      <c r="R56" s="155"/>
      <c r="S56" s="457"/>
      <c r="T56" s="460" t="s">
        <v>268</v>
      </c>
      <c r="U56" s="459"/>
      <c r="V56" s="459"/>
      <c r="W56" s="459"/>
      <c r="X56" s="459"/>
      <c r="Y56" s="459"/>
      <c r="Z56" s="459"/>
      <c r="AA56" s="459"/>
      <c r="AB56" s="459"/>
      <c r="AC56" s="459"/>
      <c r="AD56" s="459"/>
      <c r="AE56" s="459"/>
      <c r="AF56" s="459"/>
      <c r="AG56" s="459"/>
      <c r="AH56" s="459"/>
      <c r="AI56" s="459"/>
      <c r="AJ56" s="459"/>
      <c r="AK56" s="459"/>
      <c r="AL56" s="459"/>
      <c r="AM56" s="459"/>
      <c r="AO56" s="117"/>
      <c r="AP56" s="117" t="str">
        <f aca="false">IF(T56="","",T56)</f>
        <v>Добавить территорию для дифференциации</v>
      </c>
      <c r="AQ56" s="117"/>
      <c r="AR56" s="117"/>
    </row>
    <row r="57" s="47" customFormat="true" ht="0.75" hidden="false" customHeight="true" outlineLevel="0" collapsed="false">
      <c r="A57" s="121"/>
      <c r="B57" s="121"/>
      <c r="C57" s="121"/>
      <c r="D57" s="121"/>
      <c r="E57" s="121"/>
      <c r="F57" s="121"/>
      <c r="G57" s="121"/>
      <c r="H57" s="121"/>
      <c r="I57" s="121"/>
      <c r="J57" s="121"/>
      <c r="K57" s="121"/>
      <c r="L57" s="191"/>
      <c r="M57" s="456"/>
      <c r="N57" s="456"/>
      <c r="P57" s="155"/>
      <c r="Q57" s="452"/>
      <c r="R57" s="155"/>
      <c r="S57" s="457"/>
      <c r="T57" s="460" t="s">
        <v>269</v>
      </c>
      <c r="U57" s="459"/>
      <c r="V57" s="459"/>
      <c r="W57" s="459"/>
      <c r="X57" s="459"/>
      <c r="Y57" s="459"/>
      <c r="Z57" s="459"/>
      <c r="AA57" s="459"/>
      <c r="AB57" s="459"/>
      <c r="AC57" s="459"/>
      <c r="AD57" s="459"/>
      <c r="AE57" s="459"/>
      <c r="AF57" s="459"/>
      <c r="AG57" s="459"/>
      <c r="AH57" s="459"/>
      <c r="AI57" s="459"/>
      <c r="AJ57" s="459"/>
      <c r="AK57" s="459"/>
      <c r="AL57" s="459"/>
      <c r="AM57" s="459"/>
      <c r="AO57" s="117"/>
      <c r="AP57" s="117" t="str">
        <f aca="false">IF(T57="","",T57)</f>
        <v>Добавить наименование тарифа</v>
      </c>
      <c r="AQ57" s="117"/>
      <c r="AR57" s="117"/>
    </row>
    <row r="58" customFormat="false" ht="11.25" hidden="false" customHeight="true" outlineLevel="0" collapsed="false">
      <c r="M58" s="45"/>
      <c r="N58" s="45"/>
      <c r="O58" s="45"/>
      <c r="P58" s="42"/>
      <c r="Q58" s="42"/>
      <c r="R58" s="42"/>
      <c r="S58" s="42"/>
      <c r="AN58" s="42"/>
      <c r="AO58" s="42"/>
      <c r="AP58" s="42"/>
      <c r="AQ58" s="42"/>
      <c r="AR58" s="42"/>
    </row>
    <row r="59" customFormat="false" ht="18.75" hidden="false" customHeight="true" outlineLevel="0" collapsed="false">
      <c r="O59" s="45"/>
      <c r="S59" s="412"/>
      <c r="T59" s="491"/>
      <c r="U59" s="491"/>
      <c r="V59" s="491"/>
      <c r="W59" s="491"/>
      <c r="X59" s="491"/>
      <c r="Y59" s="491"/>
      <c r="Z59" s="491"/>
      <c r="AA59" s="491"/>
      <c r="AB59" s="491"/>
      <c r="AC59" s="491"/>
      <c r="AD59" s="491"/>
      <c r="AE59" s="491"/>
      <c r="AF59" s="491"/>
      <c r="AG59" s="491"/>
      <c r="AH59" s="491"/>
      <c r="AI59" s="491"/>
      <c r="AJ59" s="491"/>
      <c r="AK59" s="491"/>
      <c r="AL59" s="491"/>
      <c r="AM59" s="491"/>
    </row>
    <row r="60" customFormat="false" ht="27.75" hidden="false" customHeight="true" outlineLevel="0" collapsed="false">
      <c r="O60" s="45"/>
      <c r="T60" s="491"/>
      <c r="U60" s="491"/>
      <c r="V60" s="491"/>
      <c r="W60" s="491"/>
      <c r="X60" s="491"/>
      <c r="Y60" s="491"/>
      <c r="Z60" s="491"/>
      <c r="AA60" s="491"/>
      <c r="AB60" s="491"/>
      <c r="AC60" s="491"/>
      <c r="AD60" s="491"/>
      <c r="AE60" s="491"/>
      <c r="AF60" s="491"/>
      <c r="AG60" s="491"/>
      <c r="AH60" s="491"/>
      <c r="AI60" s="491"/>
      <c r="AJ60" s="491"/>
      <c r="AK60" s="491"/>
      <c r="AL60" s="491"/>
      <c r="AM60" s="491"/>
    </row>
    <row r="61" customFormat="false" ht="39.75" hidden="false" customHeight="true" outlineLevel="0" collapsed="false">
      <c r="O61" s="45"/>
      <c r="T61" s="491"/>
      <c r="U61" s="491"/>
      <c r="V61" s="491"/>
      <c r="W61" s="491"/>
      <c r="X61" s="491"/>
      <c r="Y61" s="491"/>
      <c r="Z61" s="491"/>
      <c r="AA61" s="491"/>
      <c r="AB61" s="491"/>
      <c r="AC61" s="491"/>
      <c r="AD61" s="491"/>
      <c r="AE61" s="491"/>
      <c r="AF61" s="491"/>
      <c r="AG61" s="491"/>
      <c r="AH61" s="491"/>
      <c r="AI61" s="491"/>
      <c r="AJ61" s="491"/>
      <c r="AK61" s="491"/>
      <c r="AL61" s="491"/>
      <c r="AM61" s="491"/>
    </row>
    <row r="62" customFormat="false" ht="14.25" hidden="false" customHeight="true" outlineLevel="0" collapsed="false">
      <c r="O62" s="45"/>
    </row>
    <row r="63" customFormat="false" ht="19.5" hidden="false" customHeight="true" outlineLevel="0" collapsed="false">
      <c r="O63" s="45"/>
      <c r="S63" s="412"/>
      <c r="T63" s="241"/>
      <c r="U63" s="241"/>
      <c r="V63" s="241"/>
      <c r="W63" s="241"/>
      <c r="X63" s="241"/>
      <c r="Y63" s="241"/>
      <c r="Z63" s="241"/>
      <c r="AA63" s="241"/>
      <c r="AB63" s="241"/>
      <c r="AC63" s="241"/>
      <c r="AD63" s="241"/>
      <c r="AE63" s="241"/>
      <c r="AF63" s="241"/>
      <c r="AG63" s="241"/>
      <c r="AH63" s="241"/>
      <c r="AI63" s="241"/>
      <c r="AJ63" s="241"/>
      <c r="AK63" s="241"/>
      <c r="AL63" s="241"/>
      <c r="AM63" s="241"/>
    </row>
    <row r="64" customFormat="false" ht="27.75" hidden="false" customHeight="true" outlineLevel="0" collapsed="false">
      <c r="O64" s="45"/>
      <c r="T64" s="491"/>
      <c r="U64" s="491"/>
      <c r="V64" s="491"/>
      <c r="W64" s="491"/>
      <c r="X64" s="491"/>
      <c r="Y64" s="491"/>
      <c r="Z64" s="491"/>
      <c r="AA64" s="491"/>
      <c r="AB64" s="491"/>
      <c r="AC64" s="491"/>
      <c r="AD64" s="491"/>
      <c r="AE64" s="491"/>
      <c r="AF64" s="491"/>
      <c r="AG64" s="491"/>
      <c r="AH64" s="491"/>
      <c r="AI64" s="491"/>
      <c r="AJ64" s="491"/>
      <c r="AK64" s="491"/>
      <c r="AL64" s="491"/>
      <c r="AM64" s="491"/>
    </row>
    <row r="65" customFormat="false" ht="33.75" hidden="false" customHeight="true" outlineLevel="0" collapsed="false">
      <c r="T65" s="491"/>
      <c r="U65" s="491"/>
      <c r="V65" s="491"/>
      <c r="W65" s="491"/>
      <c r="X65" s="491"/>
      <c r="Y65" s="491"/>
      <c r="Z65" s="491"/>
      <c r="AA65" s="491"/>
      <c r="AB65" s="491"/>
      <c r="AC65" s="491"/>
      <c r="AD65" s="491"/>
      <c r="AE65" s="491"/>
      <c r="AF65" s="491"/>
      <c r="AG65" s="491"/>
      <c r="AH65" s="491"/>
      <c r="AI65" s="491"/>
      <c r="AJ65" s="491"/>
      <c r="AK65" s="491"/>
      <c r="AL65" s="491"/>
      <c r="AM65" s="491"/>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true" outlineLevel="0" max="16" min="16" style="50" width="3.71"/>
    <col collapsed="false" customWidth="true" hidden="false" outlineLevel="0" max="18" min="17" style="414" width="3.71"/>
    <col collapsed="false" customWidth="true" hidden="false" outlineLevel="0" max="19" min="19" style="75" width="12.71"/>
    <col collapsed="false" customWidth="true" hidden="false" outlineLevel="0" max="20" min="20" style="42" width="32"/>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7" width="10.57"/>
    <col collapsed="false" customWidth="true" hidden="false" outlineLevel="0" max="42" min="42" style="47" width="11.14"/>
    <col collapsed="false" customWidth="false" hidden="false" outlineLevel="0" max="44" min="43" style="47" width="10.57"/>
  </cols>
  <sheetData>
    <row r="1" customFormat="false" ht="14.25" hidden="true" customHeight="true" outlineLevel="0" collapsed="false">
      <c r="A1" s="511"/>
    </row>
    <row r="2" customFormat="false" ht="21" hidden="true" customHeight="true" outlineLevel="0" collapsed="false">
      <c r="A2" s="415"/>
      <c r="B2" s="415"/>
      <c r="C2" s="415"/>
      <c r="D2" s="415"/>
      <c r="E2" s="416" t="n">
        <v>1</v>
      </c>
      <c r="F2" s="415"/>
      <c r="G2" s="415"/>
      <c r="H2" s="415"/>
      <c r="I2" s="415"/>
      <c r="J2" s="415"/>
      <c r="K2" s="415"/>
      <c r="L2" s="417"/>
      <c r="M2" s="40"/>
      <c r="N2" s="40"/>
      <c r="O2" s="40"/>
      <c r="Q2" s="131"/>
      <c r="R2" s="418"/>
      <c r="S2" s="419" t="e">
        <f aca="false">INDEX(PT_DIFFERENTIATION_NUM_NTAR,MATCH(A2,PT_DIFFERENTIATION_NTAR_ID,0))</f>
        <v>#N/A</v>
      </c>
      <c r="T2" s="420" t="s">
        <v>130</v>
      </c>
      <c r="U2" s="421"/>
      <c r="V2" s="422"/>
      <c r="W2" s="422"/>
      <c r="X2" s="422"/>
      <c r="Y2" s="422"/>
      <c r="Z2" s="422"/>
      <c r="AA2" s="422"/>
      <c r="AB2" s="422"/>
      <c r="AC2" s="422"/>
      <c r="AD2" s="423" t="e">
        <f aca="false">INDEX(PT_DIFFERENTIATION_NTAR,MATCH(A2,PT_DIFFERENTIATION_NTAR_ID,0))</f>
        <v>#N/A</v>
      </c>
      <c r="AE2" s="423"/>
      <c r="AF2" s="423"/>
      <c r="AG2" s="423"/>
      <c r="AH2" s="423"/>
      <c r="AI2" s="423"/>
      <c r="AJ2" s="423"/>
      <c r="AK2" s="423"/>
      <c r="AL2" s="423"/>
      <c r="AM2" s="424" t="s">
        <v>412</v>
      </c>
      <c r="AO2" s="117"/>
      <c r="AP2" s="117" t="str">
        <f aca="false">IF(T2="","",T2)</f>
        <v>Наименование тарифа</v>
      </c>
      <c r="AQ2" s="117"/>
      <c r="AR2" s="117"/>
    </row>
    <row r="3" customFormat="false" ht="21" hidden="true" customHeight="true" outlineLevel="0" collapsed="false">
      <c r="A3" s="415"/>
      <c r="B3" s="415"/>
      <c r="C3" s="415"/>
      <c r="D3" s="415"/>
      <c r="E3" s="416"/>
      <c r="F3" s="416" t="n">
        <v>1</v>
      </c>
      <c r="G3" s="415"/>
      <c r="H3" s="415"/>
      <c r="I3" s="415"/>
      <c r="J3" s="415"/>
      <c r="K3" s="415"/>
      <c r="L3" s="417"/>
      <c r="M3" s="40"/>
      <c r="N3" s="40"/>
      <c r="O3" s="40"/>
      <c r="P3" s="43"/>
      <c r="Q3" s="425"/>
      <c r="R3" s="426"/>
      <c r="S3" s="419" t="e">
        <f aca="false">INDEX(PT_DIFFERENTIATION_NUM_TER,MATCH(B3,PT_DIFFERENTIATION_TER_ID,0))</f>
        <v>#N/A</v>
      </c>
      <c r="T3" s="427" t="s">
        <v>413</v>
      </c>
      <c r="U3" s="421"/>
      <c r="V3" s="422"/>
      <c r="W3" s="422"/>
      <c r="X3" s="422"/>
      <c r="Y3" s="422"/>
      <c r="Z3" s="422"/>
      <c r="AA3" s="422"/>
      <c r="AB3" s="422"/>
      <c r="AC3" s="422"/>
      <c r="AD3" s="423" t="e">
        <f aca="false">INDEX(PT_DIFFERENTIATION_TER,MATCH(B3,PT_DIFFERENTIATION_TER_ID,0))</f>
        <v>#N/A</v>
      </c>
      <c r="AE3" s="423"/>
      <c r="AF3" s="423"/>
      <c r="AG3" s="423"/>
      <c r="AH3" s="423"/>
      <c r="AI3" s="423"/>
      <c r="AJ3" s="423"/>
      <c r="AK3" s="423"/>
      <c r="AL3" s="423"/>
      <c r="AM3" s="424" t="s">
        <v>414</v>
      </c>
      <c r="AO3" s="117"/>
      <c r="AP3" s="117" t="str">
        <f aca="false">IF(T3="","",T3)</f>
        <v>Территория действия тарифа</v>
      </c>
      <c r="AQ3" s="117"/>
      <c r="AR3" s="117"/>
    </row>
    <row r="4" customFormat="false" ht="23.25" hidden="true" customHeight="true" outlineLevel="0" collapsed="false">
      <c r="A4" s="415"/>
      <c r="B4" s="415"/>
      <c r="C4" s="415"/>
      <c r="D4" s="415"/>
      <c r="E4" s="416"/>
      <c r="F4" s="416"/>
      <c r="G4" s="416" t="n">
        <v>1</v>
      </c>
      <c r="H4" s="415"/>
      <c r="I4" s="415"/>
      <c r="J4" s="415"/>
      <c r="K4" s="415"/>
      <c r="L4" s="417"/>
      <c r="M4" s="40"/>
      <c r="N4" s="40"/>
      <c r="O4" s="40"/>
      <c r="P4" s="428"/>
      <c r="Q4" s="425"/>
      <c r="R4" s="426"/>
      <c r="S4" s="419" t="e">
        <f aca="false">INDEX(PT_DIFFERENTIATION_NUM_CS,MATCH(C4,PT_DIFFERENTIATION_CS_ID,0))</f>
        <v>#N/A</v>
      </c>
      <c r="T4" s="429" t="s">
        <v>415</v>
      </c>
      <c r="U4" s="421"/>
      <c r="V4" s="422"/>
      <c r="W4" s="422"/>
      <c r="X4" s="422"/>
      <c r="Y4" s="422"/>
      <c r="Z4" s="422"/>
      <c r="AA4" s="422"/>
      <c r="AB4" s="422"/>
      <c r="AC4" s="422"/>
      <c r="AD4" s="423" t="e">
        <f aca="false">INDEX(PT_DIFFERENTIATION_CS,MATCH(C4,PT_DIFFERENTIATION_CS_ID,0))</f>
        <v>#N/A</v>
      </c>
      <c r="AE4" s="423"/>
      <c r="AF4" s="423"/>
      <c r="AG4" s="423"/>
      <c r="AH4" s="423"/>
      <c r="AI4" s="423"/>
      <c r="AJ4" s="423"/>
      <c r="AK4" s="423"/>
      <c r="AL4" s="423"/>
      <c r="AM4" s="424" t="s">
        <v>416</v>
      </c>
      <c r="AO4" s="117"/>
      <c r="AP4" s="117" t="str">
        <f aca="false">IF(T4="","",T4)</f>
        <v>Наименование системы теплоснабжения</v>
      </c>
      <c r="AQ4" s="117"/>
      <c r="AR4" s="117"/>
    </row>
    <row r="5" customFormat="false" ht="21" hidden="true" customHeight="true" outlineLevel="0" collapsed="false">
      <c r="A5" s="415"/>
      <c r="B5" s="415"/>
      <c r="C5" s="415"/>
      <c r="D5" s="415"/>
      <c r="E5" s="416"/>
      <c r="F5" s="416"/>
      <c r="G5" s="416"/>
      <c r="H5" s="416" t="n">
        <v>1</v>
      </c>
      <c r="I5" s="415"/>
      <c r="J5" s="415"/>
      <c r="K5" s="415"/>
      <c r="L5" s="417"/>
      <c r="M5" s="40"/>
      <c r="N5" s="40"/>
      <c r="O5" s="40"/>
      <c r="P5" s="428"/>
      <c r="Q5" s="425"/>
      <c r="R5" s="426"/>
      <c r="S5" s="419" t="e">
        <f aca="false">INDEX(PT_DIFFERENTIATION_NUM_IST_TE,MATCH(D5,PT_DIFFERENTIATION_IST_TE_ID,0))</f>
        <v>#N/A</v>
      </c>
      <c r="T5" s="430" t="s">
        <v>417</v>
      </c>
      <c r="U5" s="421"/>
      <c r="V5" s="422"/>
      <c r="W5" s="422"/>
      <c r="X5" s="422"/>
      <c r="Y5" s="422"/>
      <c r="Z5" s="422"/>
      <c r="AA5" s="422"/>
      <c r="AB5" s="422"/>
      <c r="AC5" s="422"/>
      <c r="AD5" s="423" t="e">
        <f aca="false">INDEX(PT_DIFFERENTIATION_IST_TE,MATCH(D5,PT_DIFFERENTIATION_IST_TE_ID,0))</f>
        <v>#N/A</v>
      </c>
      <c r="AE5" s="423"/>
      <c r="AF5" s="423"/>
      <c r="AG5" s="423"/>
      <c r="AH5" s="423"/>
      <c r="AI5" s="423"/>
      <c r="AJ5" s="423"/>
      <c r="AK5" s="423"/>
      <c r="AL5" s="423"/>
      <c r="AM5" s="424" t="s">
        <v>418</v>
      </c>
      <c r="AO5" s="117"/>
      <c r="AP5" s="117" t="str">
        <f aca="false">IF(T5="","",T5)</f>
        <v>Источник тепловой энергии</v>
      </c>
      <c r="AQ5" s="117"/>
      <c r="AR5" s="117"/>
    </row>
    <row r="6" customFormat="false" ht="14.25" hidden="true" customHeight="true" outlineLevel="0" collapsed="false">
      <c r="A6" s="415"/>
      <c r="B6" s="415"/>
      <c r="C6" s="415"/>
      <c r="D6" s="415"/>
      <c r="E6" s="416"/>
      <c r="F6" s="416"/>
      <c r="G6" s="416"/>
      <c r="H6" s="416"/>
      <c r="I6" s="431" t="e">
        <f aca="false">S5&amp;".1"</f>
        <v>#N/A</v>
      </c>
      <c r="J6" s="415"/>
      <c r="K6" s="415"/>
      <c r="L6" s="417" t="s">
        <v>419</v>
      </c>
      <c r="M6" s="45"/>
      <c r="P6" s="120" t="n">
        <v>1</v>
      </c>
      <c r="Q6" s="120"/>
      <c r="R6" s="432"/>
      <c r="S6" s="305"/>
      <c r="T6" s="502"/>
      <c r="U6" s="503"/>
      <c r="V6" s="504"/>
      <c r="W6" s="504"/>
      <c r="X6" s="504"/>
      <c r="Y6" s="504"/>
      <c r="Z6" s="504"/>
      <c r="AA6" s="504"/>
      <c r="AB6" s="504"/>
      <c r="AC6" s="504"/>
      <c r="AD6" s="504"/>
      <c r="AE6" s="504"/>
      <c r="AF6" s="504"/>
      <c r="AG6" s="504"/>
      <c r="AH6" s="504"/>
      <c r="AI6" s="504"/>
      <c r="AJ6" s="504"/>
      <c r="AK6" s="504"/>
      <c r="AL6" s="504"/>
      <c r="AM6" s="505"/>
      <c r="AO6" s="117"/>
      <c r="AP6" s="117" t="str">
        <f aca="false">IF(T6="","",T6)</f>
        <v/>
      </c>
      <c r="AQ6" s="117"/>
      <c r="AR6" s="117"/>
    </row>
    <row r="7" customFormat="false" ht="21" hidden="true" customHeight="true" outlineLevel="0" collapsed="false">
      <c r="A7" s="415"/>
      <c r="B7" s="415"/>
      <c r="C7" s="415"/>
      <c r="D7" s="415"/>
      <c r="E7" s="416"/>
      <c r="F7" s="416"/>
      <c r="G7" s="416"/>
      <c r="H7" s="416"/>
      <c r="I7" s="431"/>
      <c r="J7" s="431" t="e">
        <f aca="false">I6&amp;".1"</f>
        <v>#N/A</v>
      </c>
      <c r="K7" s="415"/>
      <c r="L7" s="417" t="s">
        <v>422</v>
      </c>
      <c r="M7" s="45"/>
      <c r="N7" s="45"/>
      <c r="P7" s="120"/>
      <c r="Q7" s="120" t="n">
        <v>1</v>
      </c>
      <c r="R7" s="435"/>
      <c r="S7" s="419" t="e">
        <f aca="false">$J7</f>
        <v>#N/A</v>
      </c>
      <c r="T7" s="436" t="s">
        <v>423</v>
      </c>
      <c r="U7" s="421"/>
      <c r="V7" s="434"/>
      <c r="W7" s="434"/>
      <c r="X7" s="434"/>
      <c r="Y7" s="434"/>
      <c r="Z7" s="434"/>
      <c r="AA7" s="434"/>
      <c r="AB7" s="434"/>
      <c r="AC7" s="434"/>
      <c r="AD7" s="434"/>
      <c r="AE7" s="434"/>
      <c r="AF7" s="434"/>
      <c r="AG7" s="434"/>
      <c r="AH7" s="434"/>
      <c r="AI7" s="434"/>
      <c r="AJ7" s="434"/>
      <c r="AK7" s="434"/>
      <c r="AL7" s="434"/>
      <c r="AM7" s="424" t="s">
        <v>424</v>
      </c>
      <c r="AO7" s="117"/>
      <c r="AP7" s="117" t="str">
        <f aca="false">IF(T7="","",T7)</f>
        <v>Группа потребителей</v>
      </c>
      <c r="AQ7" s="117"/>
      <c r="AR7" s="117"/>
    </row>
    <row r="8" customFormat="false" ht="21" hidden="true" customHeight="true" outlineLevel="0" collapsed="false">
      <c r="A8" s="415"/>
      <c r="B8" s="415"/>
      <c r="C8" s="415"/>
      <c r="D8" s="415"/>
      <c r="E8" s="416"/>
      <c r="F8" s="416"/>
      <c r="G8" s="416"/>
      <c r="H8" s="416"/>
      <c r="I8" s="431"/>
      <c r="J8" s="431"/>
      <c r="K8" s="431" t="e">
        <f aca="false">J7&amp;".1"</f>
        <v>#N/A</v>
      </c>
      <c r="L8" s="417" t="s">
        <v>425</v>
      </c>
      <c r="M8" s="45"/>
      <c r="N8" s="45"/>
      <c r="O8" s="45"/>
      <c r="P8" s="120"/>
      <c r="Q8" s="120"/>
      <c r="R8" s="435" t="n">
        <v>1</v>
      </c>
      <c r="S8" s="419" t="e">
        <f aca="false">$K8</f>
        <v>#N/A</v>
      </c>
      <c r="T8" s="437"/>
      <c r="U8" s="421"/>
      <c r="V8" s="438"/>
      <c r="W8" s="439"/>
      <c r="X8" s="438"/>
      <c r="Y8" s="440"/>
      <c r="Z8" s="441"/>
      <c r="AA8" s="203" t="s">
        <v>63</v>
      </c>
      <c r="AB8" s="441"/>
      <c r="AC8" s="203" t="s">
        <v>63</v>
      </c>
      <c r="AD8" s="438"/>
      <c r="AE8" s="439"/>
      <c r="AF8" s="438"/>
      <c r="AG8" s="440"/>
      <c r="AH8" s="441"/>
      <c r="AI8" s="203" t="s">
        <v>63</v>
      </c>
      <c r="AJ8" s="441"/>
      <c r="AK8" s="203" t="s">
        <v>63</v>
      </c>
      <c r="AL8" s="439"/>
      <c r="AM8" s="442" t="s">
        <v>426</v>
      </c>
      <c r="AN8" s="47" t="e">
        <f aca="false">strcheckdate(V9:AL9)</f>
        <v>#NAME?</v>
      </c>
      <c r="AO8" s="117"/>
      <c r="AP8" s="117" t="str">
        <f aca="false">IF(T8="","",T8)</f>
        <v/>
      </c>
      <c r="AQ8" s="117"/>
      <c r="AR8" s="117"/>
    </row>
    <row r="9" customFormat="false" ht="14.25" hidden="true" customHeight="true" outlineLevel="0" collapsed="false">
      <c r="A9" s="415"/>
      <c r="B9" s="415"/>
      <c r="C9" s="415"/>
      <c r="D9" s="415"/>
      <c r="E9" s="416"/>
      <c r="F9" s="416"/>
      <c r="G9" s="416"/>
      <c r="H9" s="416"/>
      <c r="I9" s="431"/>
      <c r="J9" s="431"/>
      <c r="K9" s="431"/>
      <c r="L9" s="417"/>
      <c r="M9" s="45"/>
      <c r="N9" s="45"/>
      <c r="O9" s="45"/>
      <c r="P9" s="120"/>
      <c r="Q9" s="120"/>
      <c r="R9" s="435"/>
      <c r="S9" s="396"/>
      <c r="T9" s="421"/>
      <c r="U9" s="421"/>
      <c r="V9" s="439"/>
      <c r="W9" s="439"/>
      <c r="X9" s="439"/>
      <c r="Y9" s="443" t="str">
        <f aca="false">Z8&amp;"-"&amp;AB8</f>
        <v>-</v>
      </c>
      <c r="Z9" s="441"/>
      <c r="AA9" s="203"/>
      <c r="AB9" s="441"/>
      <c r="AC9" s="203"/>
      <c r="AD9" s="439"/>
      <c r="AE9" s="439"/>
      <c r="AF9" s="439"/>
      <c r="AG9" s="443" t="str">
        <f aca="false">AH8&amp;"-"&amp;AJ8</f>
        <v>-</v>
      </c>
      <c r="AH9" s="441"/>
      <c r="AI9" s="203"/>
      <c r="AJ9" s="441"/>
      <c r="AK9" s="203"/>
      <c r="AL9" s="439"/>
      <c r="AM9" s="442"/>
      <c r="AO9" s="117"/>
      <c r="AP9" s="117" t="str">
        <f aca="false">IF(T9="","",T9)</f>
        <v/>
      </c>
      <c r="AQ9" s="117"/>
      <c r="AR9" s="117"/>
    </row>
    <row r="10" customFormat="false" ht="15" hidden="true" customHeight="true" outlineLevel="0" collapsed="false">
      <c r="A10" s="415"/>
      <c r="B10" s="415"/>
      <c r="C10" s="415"/>
      <c r="D10" s="415"/>
      <c r="E10" s="416"/>
      <c r="F10" s="416"/>
      <c r="G10" s="416"/>
      <c r="H10" s="416"/>
      <c r="I10" s="431"/>
      <c r="J10" s="431"/>
      <c r="K10" s="415"/>
      <c r="L10" s="417"/>
      <c r="M10" s="45"/>
      <c r="N10" s="45"/>
      <c r="P10" s="120"/>
      <c r="Q10" s="120"/>
      <c r="R10" s="432"/>
      <c r="S10" s="444"/>
      <c r="T10" s="447" t="s">
        <v>427</v>
      </c>
      <c r="U10" s="193"/>
      <c r="V10" s="193"/>
      <c r="W10" s="193"/>
      <c r="X10" s="193"/>
      <c r="Y10" s="193"/>
      <c r="Z10" s="193"/>
      <c r="AA10" s="193"/>
      <c r="AB10" s="193"/>
      <c r="AC10" s="193"/>
      <c r="AD10" s="193"/>
      <c r="AE10" s="193"/>
      <c r="AF10" s="193"/>
      <c r="AG10" s="193"/>
      <c r="AH10" s="193"/>
      <c r="AI10" s="193"/>
      <c r="AJ10" s="193"/>
      <c r="AK10" s="193"/>
      <c r="AL10" s="446"/>
      <c r="AM10" s="442"/>
      <c r="AO10" s="117"/>
      <c r="AP10" s="117" t="str">
        <f aca="false">IF(T10="","",T10)</f>
        <v>Добавить вид теплоносителя (параметры теплоносителя)</v>
      </c>
      <c r="AQ10" s="117"/>
      <c r="AR10" s="117"/>
    </row>
    <row r="11" customFormat="false" ht="11.25" hidden="true" customHeight="true" outlineLevel="0" collapsed="false">
      <c r="A11" s="415"/>
      <c r="B11" s="415"/>
      <c r="C11" s="415"/>
      <c r="D11" s="415"/>
      <c r="E11" s="416"/>
      <c r="F11" s="416"/>
      <c r="G11" s="416"/>
      <c r="H11" s="416"/>
      <c r="I11" s="431"/>
      <c r="J11" s="415"/>
      <c r="K11" s="415"/>
      <c r="L11" s="417"/>
      <c r="M11" s="45"/>
      <c r="P11" s="120"/>
      <c r="Q11" s="120"/>
      <c r="R11" s="432"/>
      <c r="S11" s="444"/>
      <c r="T11" s="451" t="s">
        <v>428</v>
      </c>
      <c r="U11" s="193"/>
      <c r="V11" s="193"/>
      <c r="W11" s="193"/>
      <c r="X11" s="193"/>
      <c r="Y11" s="193"/>
      <c r="Z11" s="193"/>
      <c r="AA11" s="193"/>
      <c r="AB11" s="193"/>
      <c r="AC11" s="448"/>
      <c r="AD11" s="193"/>
      <c r="AE11" s="193"/>
      <c r="AF11" s="193"/>
      <c r="AG11" s="193"/>
      <c r="AH11" s="193"/>
      <c r="AI11" s="193"/>
      <c r="AJ11" s="193"/>
      <c r="AK11" s="448"/>
      <c r="AL11" s="193"/>
      <c r="AM11" s="449"/>
      <c r="AO11" s="117"/>
      <c r="AP11" s="117" t="str">
        <f aca="false">IF(T11="","",T11)</f>
        <v>Добавить группу потребителей</v>
      </c>
      <c r="AQ11" s="117"/>
      <c r="AR11" s="117"/>
    </row>
    <row r="12" customFormat="false" ht="14.25" hidden="true" customHeight="true" outlineLevel="0" collapsed="false">
      <c r="A12" s="415"/>
      <c r="B12" s="415"/>
      <c r="C12" s="415"/>
      <c r="D12" s="415"/>
      <c r="E12" s="416"/>
      <c r="F12" s="416"/>
      <c r="G12" s="416"/>
      <c r="H12" s="416"/>
      <c r="I12" s="415"/>
      <c r="J12" s="415"/>
      <c r="K12" s="415"/>
      <c r="L12" s="417"/>
      <c r="M12" s="40"/>
      <c r="N12" s="40"/>
      <c r="O12" s="45"/>
      <c r="P12" s="131"/>
      <c r="Q12" s="450"/>
      <c r="R12" s="418"/>
      <c r="S12" s="506"/>
      <c r="T12" s="507"/>
      <c r="U12" s="508"/>
      <c r="V12" s="508"/>
      <c r="W12" s="508"/>
      <c r="X12" s="508"/>
      <c r="Y12" s="508"/>
      <c r="Z12" s="508"/>
      <c r="AA12" s="508"/>
      <c r="AB12" s="508"/>
      <c r="AC12" s="508"/>
      <c r="AD12" s="508"/>
      <c r="AE12" s="508"/>
      <c r="AF12" s="508"/>
      <c r="AG12" s="508"/>
      <c r="AH12" s="508"/>
      <c r="AI12" s="508"/>
      <c r="AJ12" s="508"/>
      <c r="AK12" s="508"/>
      <c r="AL12" s="508"/>
      <c r="AM12" s="509"/>
      <c r="AO12" s="117"/>
      <c r="AP12" s="117" t="str">
        <f aca="false">IF(T12="","",T12)</f>
        <v/>
      </c>
      <c r="AQ12" s="117"/>
      <c r="AR12" s="117"/>
    </row>
    <row r="13" s="47" customFormat="true" ht="14.25" hidden="true" customHeight="true" outlineLevel="0" collapsed="false">
      <c r="A13" s="121"/>
      <c r="B13" s="121"/>
      <c r="C13" s="121"/>
      <c r="D13" s="121"/>
      <c r="E13" s="416"/>
      <c r="F13" s="416"/>
      <c r="G13" s="416"/>
      <c r="H13" s="121"/>
      <c r="I13" s="121"/>
      <c r="J13" s="121"/>
      <c r="K13" s="121"/>
      <c r="L13" s="191"/>
      <c r="M13" s="46"/>
      <c r="N13" s="46"/>
      <c r="P13" s="155"/>
      <c r="Q13" s="452"/>
      <c r="R13" s="155"/>
      <c r="S13" s="453"/>
      <c r="T13" s="454" t="s">
        <v>430</v>
      </c>
      <c r="U13" s="455"/>
      <c r="V13" s="455"/>
      <c r="W13" s="455"/>
      <c r="X13" s="455"/>
      <c r="Y13" s="455"/>
      <c r="Z13" s="455"/>
      <c r="AA13" s="455"/>
      <c r="AB13" s="455"/>
      <c r="AC13" s="455"/>
      <c r="AD13" s="455"/>
      <c r="AE13" s="455"/>
      <c r="AF13" s="455"/>
      <c r="AG13" s="455"/>
      <c r="AH13" s="455"/>
      <c r="AI13" s="455"/>
      <c r="AJ13" s="455"/>
      <c r="AK13" s="455"/>
      <c r="AL13" s="455"/>
      <c r="AM13" s="455"/>
      <c r="AO13" s="117"/>
      <c r="AP13" s="117" t="str">
        <f aca="false">IF(T13="","",T13)</f>
        <v>Добавить источник для дифференциации</v>
      </c>
      <c r="AQ13" s="117"/>
      <c r="AR13" s="117"/>
    </row>
    <row r="14" s="47" customFormat="true" ht="14.25" hidden="true" customHeight="true" outlineLevel="0" collapsed="false">
      <c r="A14" s="121"/>
      <c r="B14" s="121"/>
      <c r="C14" s="121"/>
      <c r="D14" s="121"/>
      <c r="E14" s="416"/>
      <c r="F14" s="416"/>
      <c r="G14" s="121"/>
      <c r="H14" s="121"/>
      <c r="I14" s="121"/>
      <c r="J14" s="121"/>
      <c r="K14" s="121"/>
      <c r="L14" s="191"/>
      <c r="M14" s="456"/>
      <c r="N14" s="456"/>
      <c r="P14" s="155"/>
      <c r="Q14" s="452"/>
      <c r="R14" s="155"/>
      <c r="S14" s="457"/>
      <c r="T14" s="458" t="s">
        <v>261</v>
      </c>
      <c r="U14" s="459"/>
      <c r="V14" s="459"/>
      <c r="W14" s="459"/>
      <c r="X14" s="459"/>
      <c r="Y14" s="459"/>
      <c r="Z14" s="459"/>
      <c r="AA14" s="459"/>
      <c r="AB14" s="459"/>
      <c r="AC14" s="459"/>
      <c r="AD14" s="459"/>
      <c r="AE14" s="459"/>
      <c r="AF14" s="459"/>
      <c r="AG14" s="459"/>
      <c r="AH14" s="459"/>
      <c r="AI14" s="459"/>
      <c r="AJ14" s="459"/>
      <c r="AK14" s="459"/>
      <c r="AL14" s="459"/>
      <c r="AM14" s="459"/>
      <c r="AO14" s="117"/>
      <c r="AP14" s="117" t="str">
        <f aca="false">IF(T14="","",T14)</f>
        <v>Добавить централизованную систему для дифференциации</v>
      </c>
      <c r="AQ14" s="117"/>
      <c r="AR14" s="117"/>
    </row>
    <row r="15" s="47" customFormat="true" ht="14.25" hidden="true" customHeight="true" outlineLevel="0" collapsed="false">
      <c r="A15" s="121"/>
      <c r="B15" s="121"/>
      <c r="C15" s="121"/>
      <c r="D15" s="121"/>
      <c r="E15" s="416"/>
      <c r="F15" s="121"/>
      <c r="G15" s="121"/>
      <c r="H15" s="121"/>
      <c r="I15" s="121"/>
      <c r="J15" s="121"/>
      <c r="K15" s="121"/>
      <c r="L15" s="191"/>
      <c r="M15" s="456"/>
      <c r="N15" s="456"/>
      <c r="P15" s="155"/>
      <c r="Q15" s="452"/>
      <c r="R15" s="155"/>
      <c r="S15" s="457"/>
      <c r="T15" s="460" t="s">
        <v>268</v>
      </c>
      <c r="U15" s="459"/>
      <c r="V15" s="459"/>
      <c r="W15" s="459"/>
      <c r="X15" s="459"/>
      <c r="Y15" s="459"/>
      <c r="Z15" s="459"/>
      <c r="AA15" s="459"/>
      <c r="AB15" s="459"/>
      <c r="AC15" s="459"/>
      <c r="AD15" s="459"/>
      <c r="AE15" s="459"/>
      <c r="AF15" s="459"/>
      <c r="AG15" s="459"/>
      <c r="AH15" s="459"/>
      <c r="AI15" s="459"/>
      <c r="AJ15" s="459"/>
      <c r="AK15" s="459"/>
      <c r="AL15" s="459"/>
      <c r="AM15" s="459"/>
      <c r="AO15" s="117"/>
      <c r="AP15" s="117" t="str">
        <f aca="false">IF(T15="","",T15)</f>
        <v>Добавить территорию для дифференциации</v>
      </c>
      <c r="AQ15" s="117"/>
      <c r="AR15" s="117"/>
    </row>
    <row r="16" customFormat="false" ht="14.25" hidden="true" customHeight="true" outlineLevel="0" collapsed="false"/>
    <row r="17" customFormat="false" ht="14.25" hidden="true" customHeight="true" outlineLevel="0" collapsed="false">
      <c r="AD17" s="461"/>
      <c r="AE17" s="461"/>
      <c r="AF17" s="461"/>
      <c r="AG17" s="462"/>
      <c r="AH17" s="463"/>
      <c r="AI17" s="464" t="s">
        <v>63</v>
      </c>
      <c r="AJ17" s="463"/>
      <c r="AK17" s="464" t="s">
        <v>63</v>
      </c>
    </row>
    <row r="18" customFormat="false" ht="14.25" hidden="true" customHeight="true" outlineLevel="0" collapsed="false">
      <c r="AD18" s="461"/>
      <c r="AE18" s="461"/>
      <c r="AF18" s="461"/>
      <c r="AG18" s="443" t="str">
        <f aca="false">AH17&amp;"-"&amp;AJ17</f>
        <v>-</v>
      </c>
      <c r="AH18" s="463"/>
      <c r="AI18" s="463"/>
      <c r="AJ18" s="463"/>
      <c r="AK18" s="463"/>
    </row>
    <row r="19" customFormat="false" ht="14.25" hidden="true" customHeight="true" outlineLevel="0" collapsed="false"/>
    <row r="20" s="45" customFormat="true" ht="22.5" hidden="true" customHeight="true" outlineLevel="0" collapsed="false">
      <c r="L20" s="44"/>
      <c r="M20" s="51"/>
      <c r="N20" s="51"/>
      <c r="O20" s="465" t="s">
        <v>431</v>
      </c>
      <c r="P20" s="51"/>
      <c r="Q20" s="466"/>
      <c r="R20" s="466"/>
      <c r="S20" s="40"/>
      <c r="Z20" s="465"/>
      <c r="AB20" s="465"/>
      <c r="AH20" s="465"/>
      <c r="AJ20" s="465"/>
      <c r="AN20" s="47"/>
      <c r="AO20" s="47"/>
      <c r="AP20" s="47"/>
      <c r="AQ20" s="47"/>
      <c r="AR20" s="47"/>
    </row>
    <row r="21" s="45" customFormat="true" ht="14.25" hidden="true" customHeight="true" outlineLevel="0" collapsed="false">
      <c r="L21" s="44"/>
      <c r="M21" s="51"/>
      <c r="N21" s="51"/>
      <c r="O21" s="51"/>
      <c r="P21" s="51"/>
      <c r="Q21" s="466"/>
      <c r="R21" s="466"/>
      <c r="S21" s="40"/>
      <c r="AN21" s="47"/>
      <c r="AO21" s="47"/>
      <c r="AP21" s="47"/>
      <c r="AQ21" s="47"/>
      <c r="AR21" s="47"/>
    </row>
    <row r="22" s="45" customFormat="true" ht="14.25" hidden="true" customHeight="true" outlineLevel="0" collapsed="false">
      <c r="L22" s="44"/>
      <c r="M22" s="51"/>
      <c r="N22" s="51"/>
      <c r="O22" s="417" t="s">
        <v>432</v>
      </c>
      <c r="P22" s="51"/>
      <c r="Q22" s="466"/>
      <c r="R22" s="466"/>
      <c r="S22" s="40"/>
      <c r="T22" s="45" t="s">
        <v>433</v>
      </c>
      <c r="AA22" s="139" t="s">
        <v>434</v>
      </c>
      <c r="AC22" s="139" t="s">
        <v>435</v>
      </c>
      <c r="AD22" s="45" t="s">
        <v>433</v>
      </c>
      <c r="AI22" s="139" t="s">
        <v>436</v>
      </c>
      <c r="AK22" s="139" t="s">
        <v>435</v>
      </c>
      <c r="AN22" s="47"/>
      <c r="AO22" s="47"/>
      <c r="AP22" s="47"/>
      <c r="AQ22" s="47"/>
      <c r="AR22" s="47"/>
    </row>
    <row r="23" customFormat="false" ht="14.25" hidden="true" customHeight="true" outlineLevel="0" collapsed="false">
      <c r="O23" s="417"/>
    </row>
    <row r="24" customFormat="false" ht="14.25" hidden="true" customHeight="true" outlineLevel="0" collapsed="false">
      <c r="O24" s="417"/>
    </row>
    <row r="25" customFormat="false" ht="14.25" hidden="false" customHeight="true" outlineLevel="0" collapsed="false">
      <c r="Q25" s="467"/>
      <c r="R25" s="467"/>
      <c r="S25" s="468"/>
      <c r="T25" s="79"/>
      <c r="U25" s="79"/>
    </row>
    <row r="26" customFormat="false" ht="51.75" hidden="false" customHeight="true" outlineLevel="0" collapsed="false">
      <c r="Q26" s="467"/>
      <c r="R26" s="467"/>
      <c r="S26" s="175"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5"/>
      <c r="U26" s="175"/>
      <c r="V26" s="175"/>
      <c r="W26" s="175"/>
      <c r="X26" s="175"/>
      <c r="Y26" s="175"/>
      <c r="Z26" s="175"/>
      <c r="AA26" s="175"/>
      <c r="AB26" s="175"/>
      <c r="AC26" s="175"/>
      <c r="AD26" s="175"/>
      <c r="AE26" s="175"/>
      <c r="AF26" s="175"/>
      <c r="AG26" s="175"/>
      <c r="AH26" s="175"/>
      <c r="AI26" s="175"/>
      <c r="AJ26" s="175"/>
      <c r="AK26" s="214"/>
    </row>
    <row r="27" customFormat="false" ht="14.25" hidden="false" customHeight="true" outlineLevel="0" collapsed="false">
      <c r="Q27" s="467"/>
      <c r="R27" s="467"/>
      <c r="S27" s="265" t="str">
        <f aca="false">IF(org=0,"Не определено",org)</f>
        <v>ООО "Газпром теплоэнерго Ярославль"</v>
      </c>
      <c r="T27" s="265"/>
      <c r="U27" s="265"/>
      <c r="V27" s="265"/>
      <c r="W27" s="265"/>
      <c r="X27" s="265"/>
      <c r="Y27" s="265"/>
      <c r="Z27" s="265"/>
      <c r="AA27" s="265"/>
      <c r="AB27" s="265"/>
      <c r="AC27" s="265"/>
      <c r="AD27" s="265"/>
      <c r="AE27" s="265"/>
      <c r="AF27" s="265"/>
      <c r="AG27" s="265"/>
      <c r="AH27" s="265"/>
      <c r="AI27" s="265"/>
      <c r="AJ27" s="265"/>
      <c r="AK27" s="214"/>
    </row>
    <row r="28" customFormat="false" ht="14.25" hidden="false" customHeight="true" outlineLevel="0" collapsed="false">
      <c r="Q28" s="467"/>
      <c r="R28" s="467"/>
      <c r="S28" s="468"/>
      <c r="T28" s="79"/>
      <c r="U28" s="79"/>
      <c r="V28" s="469"/>
      <c r="W28" s="469"/>
      <c r="X28" s="469"/>
      <c r="Y28" s="469"/>
      <c r="Z28" s="469"/>
      <c r="AA28" s="469"/>
      <c r="AB28" s="469"/>
      <c r="AC28" s="469"/>
      <c r="AD28" s="469"/>
      <c r="AE28" s="469"/>
      <c r="AF28" s="469"/>
      <c r="AG28" s="469"/>
      <c r="AH28" s="469"/>
      <c r="AI28" s="469"/>
      <c r="AJ28" s="469"/>
      <c r="AK28" s="469"/>
    </row>
    <row r="29" s="174" customFormat="true" ht="25.5" hidden="false" customHeight="true" outlineLevel="0" collapsed="false">
      <c r="A29" s="139"/>
      <c r="B29" s="139"/>
      <c r="C29" s="139"/>
      <c r="D29" s="139"/>
      <c r="E29" s="139"/>
      <c r="F29" s="139"/>
      <c r="G29" s="139"/>
      <c r="H29" s="139"/>
      <c r="I29" s="139"/>
      <c r="J29" s="139"/>
      <c r="K29" s="139"/>
      <c r="L29" s="417"/>
      <c r="M29" s="139"/>
      <c r="N29" s="139"/>
      <c r="O29" s="139"/>
      <c r="S29" s="470" t="s">
        <v>37</v>
      </c>
      <c r="T29" s="470"/>
      <c r="U29" s="471"/>
      <c r="V29" s="472" t="str">
        <f aca="false">IF(TITLE_NAME_OR_PR_CHANGE="",IF(TITLE_NAME_OR_PR="","",TITLE_NAME_OR_PR),TITLE_NAME_OR_PR_CHANGE)</f>
        <v>Министерство тарифного регулирования Ярославской области</v>
      </c>
      <c r="W29" s="472"/>
      <c r="X29" s="472"/>
      <c r="Y29" s="472"/>
      <c r="Z29" s="472"/>
      <c r="AA29" s="472"/>
      <c r="AB29" s="472"/>
      <c r="AC29" s="42"/>
      <c r="AD29" s="472" t="str">
        <f aca="false">IF(TITLE_NAME_OR_PR_CHANGE="",IF(TITLE_NAME_OR_PR="","",TITLE_NAME_OR_PR),TITLE_NAME_OR_PR_CHANGE)</f>
        <v>Министерство тарифного регулирования Ярославской области</v>
      </c>
      <c r="AE29" s="472"/>
      <c r="AF29" s="472"/>
      <c r="AG29" s="472"/>
      <c r="AH29" s="472"/>
      <c r="AI29" s="472"/>
      <c r="AJ29" s="472"/>
      <c r="AK29" s="42"/>
      <c r="AL29" s="42"/>
      <c r="AM29" s="473"/>
      <c r="AN29" s="117"/>
      <c r="AO29" s="117"/>
      <c r="AP29" s="117"/>
      <c r="AQ29" s="117"/>
      <c r="AR29" s="117"/>
    </row>
    <row r="30" s="174" customFormat="true" ht="18.75" hidden="false" customHeight="true" outlineLevel="0" collapsed="false">
      <c r="A30" s="139"/>
      <c r="B30" s="139"/>
      <c r="C30" s="139"/>
      <c r="D30" s="139"/>
      <c r="E30" s="139"/>
      <c r="F30" s="139"/>
      <c r="G30" s="139"/>
      <c r="H30" s="139"/>
      <c r="I30" s="139"/>
      <c r="J30" s="139"/>
      <c r="K30" s="139"/>
      <c r="L30" s="417"/>
      <c r="M30" s="139"/>
      <c r="N30" s="139"/>
      <c r="O30" s="139"/>
      <c r="S30" s="470" t="s">
        <v>437</v>
      </c>
      <c r="T30" s="470"/>
      <c r="U30" s="471"/>
      <c r="V30" s="474" t="str">
        <f aca="false">IF(TITLE_DATE_PR_CHANGE="",IF(TITLE_DATE_PR="","",TITLE_DATE_PR),TITLE_DATE_PR_CHANGE)</f>
        <v>45279.46460648148</v>
      </c>
      <c r="W30" s="474"/>
      <c r="X30" s="474"/>
      <c r="Y30" s="474"/>
      <c r="Z30" s="474"/>
      <c r="AA30" s="474"/>
      <c r="AB30" s="474"/>
      <c r="AC30" s="42"/>
      <c r="AD30" s="474" t="str">
        <f aca="false">IF(TITLE_DATE_PR_CHANGE="",IF(TITLE_DATE_PR="","",TITLE_DATE_PR),TITLE_DATE_PR_CHANGE)</f>
        <v>45279.46460648148</v>
      </c>
      <c r="AE30" s="474"/>
      <c r="AF30" s="474"/>
      <c r="AG30" s="474"/>
      <c r="AH30" s="474"/>
      <c r="AI30" s="474"/>
      <c r="AJ30" s="474"/>
      <c r="AK30" s="42"/>
      <c r="AL30" s="42"/>
      <c r="AM30" s="473"/>
      <c r="AN30" s="117"/>
      <c r="AO30" s="117"/>
      <c r="AP30" s="117"/>
      <c r="AQ30" s="117"/>
      <c r="AR30" s="117"/>
    </row>
    <row r="31" s="174" customFormat="true" ht="18.75" hidden="false" customHeight="true" outlineLevel="0" collapsed="false">
      <c r="A31" s="139"/>
      <c r="B31" s="139"/>
      <c r="C31" s="139"/>
      <c r="D31" s="139"/>
      <c r="E31" s="139"/>
      <c r="F31" s="139"/>
      <c r="G31" s="139"/>
      <c r="H31" s="139"/>
      <c r="I31" s="139"/>
      <c r="J31" s="139"/>
      <c r="K31" s="139"/>
      <c r="L31" s="417"/>
      <c r="M31" s="139"/>
      <c r="N31" s="139"/>
      <c r="O31" s="139"/>
      <c r="S31" s="470" t="s">
        <v>438</v>
      </c>
      <c r="T31" s="470"/>
      <c r="U31" s="471"/>
      <c r="V31" s="472" t="str">
        <f aca="false">IF(TITLE_NUMBER_PR_CHANGE="",IF(TITLE_NUMBER_PR="","",TITLE_NUMBER_PR),TITLE_NUMBER_PR_CHANGE)</f>
        <v>403-гвс, 404-гвс, 406-гвс</v>
      </c>
      <c r="W31" s="472"/>
      <c r="X31" s="472"/>
      <c r="Y31" s="472"/>
      <c r="Z31" s="472"/>
      <c r="AA31" s="472"/>
      <c r="AB31" s="472"/>
      <c r="AC31" s="42"/>
      <c r="AD31" s="472" t="str">
        <f aca="false">IF(TITLE_NUMBER_PR_CHANGE="",IF(TITLE_NUMBER_PR="","",TITLE_NUMBER_PR),TITLE_NUMBER_PR_CHANGE)</f>
        <v>403-гвс, 404-гвс, 406-гвс</v>
      </c>
      <c r="AE31" s="472"/>
      <c r="AF31" s="472"/>
      <c r="AG31" s="472"/>
      <c r="AH31" s="472"/>
      <c r="AI31" s="472"/>
      <c r="AJ31" s="472"/>
      <c r="AK31" s="42"/>
      <c r="AL31" s="42"/>
      <c r="AM31" s="473"/>
      <c r="AN31" s="117"/>
      <c r="AO31" s="117"/>
      <c r="AP31" s="117"/>
      <c r="AQ31" s="117"/>
      <c r="AR31" s="117"/>
    </row>
    <row r="32" s="174" customFormat="true" ht="18.75" hidden="false" customHeight="true" outlineLevel="0" collapsed="false">
      <c r="A32" s="139"/>
      <c r="B32" s="139"/>
      <c r="C32" s="139"/>
      <c r="D32" s="139"/>
      <c r="E32" s="139"/>
      <c r="F32" s="139"/>
      <c r="G32" s="139"/>
      <c r="H32" s="139"/>
      <c r="I32" s="139"/>
      <c r="J32" s="139"/>
      <c r="K32" s="139"/>
      <c r="L32" s="417"/>
      <c r="M32" s="139"/>
      <c r="N32" s="139"/>
      <c r="O32" s="139"/>
      <c r="S32" s="470" t="s">
        <v>39</v>
      </c>
      <c r="T32" s="470"/>
      <c r="U32" s="471"/>
      <c r="V32" s="472" t="str">
        <f aca="false">IF(TITLE_IST_PUB_CHANGE="",IF(TITLE_IST_PUB="","",TITLE_IST_PUB),TITLE_IST_PUB_CHANGE)</f>
        <v>официальный интернет- портал правовой информации www.pravo.gov.ru</v>
      </c>
      <c r="W32" s="472"/>
      <c r="X32" s="472"/>
      <c r="Y32" s="472"/>
      <c r="Z32" s="472"/>
      <c r="AA32" s="472"/>
      <c r="AB32" s="472"/>
      <c r="AC32" s="42"/>
      <c r="AD32" s="472" t="str">
        <f aca="false">IF(TITLE_IST_PUB_CHANGE="",IF(TITLE_IST_PUB="","",TITLE_IST_PUB),TITLE_IST_PUB_CHANGE)</f>
        <v>официальный интернет- портал правовой информации www.pravo.gov.ru</v>
      </c>
      <c r="AE32" s="472"/>
      <c r="AF32" s="472"/>
      <c r="AG32" s="472"/>
      <c r="AH32" s="472"/>
      <c r="AI32" s="472"/>
      <c r="AJ32" s="472"/>
      <c r="AK32" s="42"/>
      <c r="AL32" s="42"/>
      <c r="AM32" s="473"/>
      <c r="AN32" s="117"/>
      <c r="AO32" s="117"/>
      <c r="AP32" s="117"/>
      <c r="AQ32" s="117"/>
      <c r="AR32" s="117"/>
    </row>
    <row r="33" customFormat="false" ht="14.25" hidden="true" customHeight="true" outlineLevel="0" collapsed="false">
      <c r="Q33" s="467"/>
      <c r="R33" s="467"/>
      <c r="S33" s="468"/>
      <c r="T33" s="79"/>
      <c r="U33" s="79"/>
      <c r="V33" s="469"/>
      <c r="W33" s="469"/>
      <c r="X33" s="469"/>
      <c r="Y33" s="469"/>
      <c r="Z33" s="469"/>
      <c r="AA33" s="469"/>
      <c r="AB33" s="469"/>
      <c r="AC33" s="469"/>
      <c r="AD33" s="469"/>
      <c r="AE33" s="469"/>
      <c r="AF33" s="469"/>
      <c r="AG33" s="469"/>
      <c r="AH33" s="469"/>
      <c r="AI33" s="469"/>
      <c r="AJ33" s="469"/>
      <c r="AK33" s="469"/>
    </row>
    <row r="34" s="174" customFormat="true" ht="18.75" hidden="true" customHeight="true" outlineLevel="0" collapsed="false">
      <c r="A34" s="139"/>
      <c r="B34" s="139"/>
      <c r="C34" s="139"/>
      <c r="D34" s="139"/>
      <c r="E34" s="139"/>
      <c r="F34" s="139"/>
      <c r="G34" s="139"/>
      <c r="H34" s="139"/>
      <c r="I34" s="139"/>
      <c r="J34" s="139"/>
      <c r="K34" s="139"/>
      <c r="L34" s="417"/>
      <c r="M34" s="139"/>
      <c r="N34" s="139"/>
      <c r="O34" s="139"/>
      <c r="S34" s="470" t="s">
        <v>439</v>
      </c>
      <c r="T34" s="470"/>
      <c r="U34" s="471"/>
      <c r="V34" s="474" t="str">
        <f aca="false">IF(TITLE_DATE_PR_CHANGE="",IF(TITLE_DATE_PR="","",TITLE_DATE_PR),TITLE_DATE_PR_CHANGE)</f>
        <v>45279.46460648148</v>
      </c>
      <c r="W34" s="474"/>
      <c r="X34" s="474"/>
      <c r="Y34" s="474"/>
      <c r="Z34" s="474"/>
      <c r="AA34" s="474"/>
      <c r="AB34" s="474"/>
      <c r="AC34" s="42"/>
      <c r="AD34" s="474" t="str">
        <f aca="false">IF(TITLE_DATE_PR_CHANGE="",IF(TITLE_DATE_PR="","",TITLE_DATE_PR),TITLE_DATE_PR_CHANGE)</f>
        <v>45279.46460648148</v>
      </c>
      <c r="AE34" s="474"/>
      <c r="AF34" s="474"/>
      <c r="AG34" s="474"/>
      <c r="AH34" s="474"/>
      <c r="AI34" s="474"/>
      <c r="AJ34" s="474"/>
      <c r="AK34" s="42"/>
      <c r="AL34" s="42"/>
      <c r="AM34" s="473"/>
      <c r="AN34" s="117"/>
      <c r="AO34" s="117"/>
      <c r="AP34" s="117"/>
      <c r="AQ34" s="117"/>
      <c r="AR34" s="117"/>
    </row>
    <row r="35" s="174" customFormat="true" ht="18.75" hidden="true" customHeight="true" outlineLevel="0" collapsed="false">
      <c r="A35" s="139"/>
      <c r="B35" s="139"/>
      <c r="C35" s="139"/>
      <c r="D35" s="139"/>
      <c r="E35" s="139"/>
      <c r="F35" s="139"/>
      <c r="G35" s="139"/>
      <c r="H35" s="139"/>
      <c r="I35" s="139"/>
      <c r="J35" s="139"/>
      <c r="K35" s="139"/>
      <c r="L35" s="417"/>
      <c r="M35" s="139"/>
      <c r="N35" s="139"/>
      <c r="O35" s="139"/>
      <c r="S35" s="470" t="s">
        <v>440</v>
      </c>
      <c r="T35" s="470"/>
      <c r="U35" s="471"/>
      <c r="V35" s="472" t="str">
        <f aca="false">IF(TITLE_NUMBER_PR_CHANGE="",IF(TITLE_NUMBER_PR="","",TITLE_NUMBER_PR),TITLE_NUMBER_PR_CHANGE)</f>
        <v>403-гвс, 404-гвс, 406-гвс</v>
      </c>
      <c r="W35" s="472"/>
      <c r="X35" s="472"/>
      <c r="Y35" s="472"/>
      <c r="Z35" s="472"/>
      <c r="AA35" s="472"/>
      <c r="AB35" s="472"/>
      <c r="AC35" s="42"/>
      <c r="AD35" s="472" t="str">
        <f aca="false">IF(TITLE_NUMBER_PR_CHANGE="",IF(TITLE_NUMBER_PR="","",TITLE_NUMBER_PR),TITLE_NUMBER_PR_CHANGE)</f>
        <v>403-гвс, 404-гвс, 406-гвс</v>
      </c>
      <c r="AE35" s="472"/>
      <c r="AF35" s="472"/>
      <c r="AG35" s="472"/>
      <c r="AH35" s="472"/>
      <c r="AI35" s="472"/>
      <c r="AJ35" s="472"/>
      <c r="AK35" s="42"/>
      <c r="AL35" s="42"/>
      <c r="AM35" s="473"/>
      <c r="AN35" s="117"/>
      <c r="AO35" s="117"/>
      <c r="AP35" s="117"/>
      <c r="AQ35" s="117"/>
      <c r="AR35" s="117"/>
    </row>
    <row r="36" s="174" customFormat="true" ht="12.8" hidden="false" customHeight="false" outlineLevel="0" collapsed="false">
      <c r="A36" s="139"/>
      <c r="B36" s="139"/>
      <c r="C36" s="139"/>
      <c r="D36" s="139"/>
      <c r="E36" s="139"/>
      <c r="F36" s="139"/>
      <c r="G36" s="139"/>
      <c r="H36" s="139"/>
      <c r="I36" s="139"/>
      <c r="J36" s="139"/>
      <c r="K36" s="139"/>
      <c r="L36" s="417"/>
      <c r="M36" s="139"/>
      <c r="N36" s="139"/>
      <c r="O36" s="139"/>
      <c r="S36" s="42"/>
      <c r="T36" s="42"/>
      <c r="U36" s="127"/>
      <c r="V36" s="42"/>
      <c r="W36" s="42"/>
      <c r="X36" s="42"/>
      <c r="Y36" s="42"/>
      <c r="Z36" s="42"/>
      <c r="AA36" s="42"/>
      <c r="AB36" s="42"/>
      <c r="AC36" s="47" t="s">
        <v>441</v>
      </c>
      <c r="AD36" s="42"/>
      <c r="AE36" s="42"/>
      <c r="AF36" s="42"/>
      <c r="AG36" s="42"/>
      <c r="AH36" s="42"/>
      <c r="AI36" s="42"/>
      <c r="AJ36" s="42"/>
      <c r="AK36" s="47" t="s">
        <v>441</v>
      </c>
      <c r="AN36" s="117"/>
      <c r="AO36" s="117"/>
      <c r="AP36" s="117"/>
      <c r="AQ36" s="117"/>
      <c r="AR36" s="117"/>
    </row>
    <row r="37" customFormat="false" ht="14.25" hidden="false" customHeight="true" outlineLevel="0" collapsed="false">
      <c r="Q37" s="467"/>
      <c r="R37" s="467"/>
      <c r="S37" s="468"/>
      <c r="T37" s="79"/>
      <c r="U37" s="475"/>
      <c r="V37" s="476"/>
      <c r="W37" s="476"/>
      <c r="X37" s="476"/>
      <c r="Y37" s="476"/>
      <c r="Z37" s="476"/>
      <c r="AA37" s="476"/>
      <c r="AB37" s="476"/>
      <c r="AC37" s="476"/>
      <c r="AD37" s="476"/>
      <c r="AE37" s="476"/>
      <c r="AF37" s="476"/>
      <c r="AG37" s="476"/>
      <c r="AH37" s="476"/>
      <c r="AI37" s="476"/>
      <c r="AJ37" s="476"/>
      <c r="AK37" s="476"/>
    </row>
    <row r="38" customFormat="false" ht="14.25" hidden="false" customHeight="true" outlineLevel="0" collapsed="false">
      <c r="Q38" s="467"/>
      <c r="R38" s="467"/>
      <c r="S38" s="133" t="s">
        <v>316</v>
      </c>
      <c r="T38" s="133"/>
      <c r="U38" s="133"/>
      <c r="V38" s="133"/>
      <c r="W38" s="133"/>
      <c r="X38" s="133"/>
      <c r="Y38" s="133"/>
      <c r="Z38" s="133"/>
      <c r="AA38" s="133"/>
      <c r="AB38" s="133"/>
      <c r="AC38" s="133"/>
      <c r="AD38" s="133"/>
      <c r="AE38" s="133"/>
      <c r="AF38" s="133"/>
      <c r="AG38" s="133"/>
      <c r="AH38" s="133"/>
      <c r="AI38" s="133"/>
      <c r="AJ38" s="133"/>
      <c r="AK38" s="133"/>
      <c r="AL38" s="133"/>
      <c r="AM38" s="133" t="s">
        <v>317</v>
      </c>
    </row>
    <row r="39" customFormat="false" ht="14.25" hidden="false" customHeight="true" outlineLevel="0" collapsed="false">
      <c r="Q39" s="467"/>
      <c r="R39" s="467"/>
      <c r="S39" s="477" t="s">
        <v>84</v>
      </c>
      <c r="T39" s="394" t="s">
        <v>442</v>
      </c>
      <c r="U39" s="478"/>
      <c r="V39" s="300" t="s">
        <v>443</v>
      </c>
      <c r="W39" s="300"/>
      <c r="X39" s="300"/>
      <c r="Y39" s="300"/>
      <c r="Z39" s="300"/>
      <c r="AA39" s="300"/>
      <c r="AB39" s="300"/>
      <c r="AC39" s="394" t="s">
        <v>444</v>
      </c>
      <c r="AD39" s="300" t="s">
        <v>443</v>
      </c>
      <c r="AE39" s="300"/>
      <c r="AF39" s="300"/>
      <c r="AG39" s="300"/>
      <c r="AH39" s="300"/>
      <c r="AI39" s="300"/>
      <c r="AJ39" s="300"/>
      <c r="AK39" s="394" t="s">
        <v>445</v>
      </c>
      <c r="AL39" s="479" t="s">
        <v>446</v>
      </c>
      <c r="AM39" s="133"/>
    </row>
    <row r="40" customFormat="false" ht="33.75" hidden="false" customHeight="true" outlineLevel="0" collapsed="false">
      <c r="Q40" s="467"/>
      <c r="R40" s="467"/>
      <c r="S40" s="477"/>
      <c r="T40" s="394"/>
      <c r="U40" s="480"/>
      <c r="V40" s="133" t="s">
        <v>447</v>
      </c>
      <c r="W40" s="431"/>
      <c r="X40" s="133" t="s">
        <v>449</v>
      </c>
      <c r="Y40" s="133"/>
      <c r="Z40" s="133" t="s">
        <v>450</v>
      </c>
      <c r="AA40" s="133"/>
      <c r="AB40" s="133"/>
      <c r="AC40" s="394"/>
      <c r="AD40" s="133" t="s">
        <v>463</v>
      </c>
      <c r="AE40" s="431"/>
      <c r="AF40" s="133" t="s">
        <v>449</v>
      </c>
      <c r="AG40" s="133"/>
      <c r="AH40" s="133" t="s">
        <v>450</v>
      </c>
      <c r="AI40" s="133"/>
      <c r="AJ40" s="133"/>
      <c r="AK40" s="394"/>
      <c r="AL40" s="479"/>
      <c r="AM40" s="133"/>
    </row>
    <row r="41" customFormat="false" ht="33.75" hidden="false" customHeight="true" outlineLevel="0" collapsed="false">
      <c r="A41" s="139"/>
      <c r="B41" s="139" t="s">
        <v>142</v>
      </c>
      <c r="C41" s="139" t="s">
        <v>143</v>
      </c>
      <c r="D41" s="139" t="s">
        <v>144</v>
      </c>
      <c r="E41" s="417" t="s">
        <v>451</v>
      </c>
      <c r="F41" s="417" t="s">
        <v>452</v>
      </c>
      <c r="G41" s="417" t="s">
        <v>453</v>
      </c>
      <c r="H41" s="417" t="s">
        <v>454</v>
      </c>
      <c r="I41" s="417" t="s">
        <v>455</v>
      </c>
      <c r="J41" s="417" t="s">
        <v>456</v>
      </c>
      <c r="K41" s="417" t="s">
        <v>457</v>
      </c>
      <c r="L41" s="417" t="s">
        <v>432</v>
      </c>
      <c r="Q41" s="467"/>
      <c r="R41" s="467"/>
      <c r="S41" s="477"/>
      <c r="T41" s="394"/>
      <c r="U41" s="481"/>
      <c r="V41" s="133"/>
      <c r="W41" s="431"/>
      <c r="X41" s="184" t="s">
        <v>458</v>
      </c>
      <c r="Y41" s="184" t="s">
        <v>459</v>
      </c>
      <c r="Z41" s="184" t="s">
        <v>460</v>
      </c>
      <c r="AA41" s="184" t="s">
        <v>461</v>
      </c>
      <c r="AB41" s="184"/>
      <c r="AC41" s="394"/>
      <c r="AD41" s="133"/>
      <c r="AE41" s="431"/>
      <c r="AF41" s="184" t="s">
        <v>458</v>
      </c>
      <c r="AG41" s="184" t="s">
        <v>459</v>
      </c>
      <c r="AH41" s="184" t="s">
        <v>460</v>
      </c>
      <c r="AI41" s="184" t="s">
        <v>461</v>
      </c>
      <c r="AJ41" s="184"/>
      <c r="AK41" s="394"/>
      <c r="AL41" s="479"/>
      <c r="AM41" s="133"/>
    </row>
    <row r="42" s="119" customFormat="true" ht="11.25" hidden="true" customHeight="true" outlineLevel="0" collapsed="false">
      <c r="A42" s="139"/>
      <c r="B42" s="139"/>
      <c r="C42" s="139"/>
      <c r="D42" s="139"/>
      <c r="E42" s="139"/>
      <c r="F42" s="139"/>
      <c r="G42" s="139"/>
      <c r="H42" s="139"/>
      <c r="I42" s="139"/>
      <c r="J42" s="139"/>
      <c r="K42" s="139"/>
      <c r="L42" s="417"/>
      <c r="M42" s="51"/>
      <c r="N42" s="51"/>
      <c r="O42" s="51"/>
      <c r="P42" s="482"/>
      <c r="Q42" s="483"/>
      <c r="R42" s="484" t="n">
        <v>1</v>
      </c>
      <c r="S42" s="485" t="s">
        <v>117</v>
      </c>
      <c r="T42" s="486" t="s">
        <v>99</v>
      </c>
      <c r="U42" s="487" t="str">
        <f aca="true">OFFSET(U42,0,-1)</f>
        <v>2</v>
      </c>
      <c r="V42" s="488" t="n">
        <f aca="true">OFFSET(V42,0,-1)+1</f>
        <v>3</v>
      </c>
      <c r="W42" s="488"/>
      <c r="X42" s="488" t="n">
        <f aca="true">OFFSET(X42,0,-1)+1</f>
        <v>1</v>
      </c>
      <c r="Y42" s="488" t="n">
        <f aca="true">OFFSET(Y42,0,-1)+1</f>
        <v>2</v>
      </c>
      <c r="Z42" s="488" t="n">
        <f aca="true">OFFSET(Z42,0,-1)+1</f>
        <v>3</v>
      </c>
      <c r="AA42" s="488" t="n">
        <f aca="true">OFFSET(AA42,0,-1)+1</f>
        <v>4</v>
      </c>
      <c r="AB42" s="488"/>
      <c r="AC42" s="488" t="n">
        <f aca="true">OFFSET(AC42,0,-2)+1</f>
        <v>5</v>
      </c>
      <c r="AD42" s="488" t="n">
        <f aca="true">OFFSET(AD42,0,-1)+1</f>
        <v>6</v>
      </c>
      <c r="AE42" s="488"/>
      <c r="AF42" s="488" t="n">
        <f aca="true">OFFSET(AF42,0,-1)+1</f>
        <v>1</v>
      </c>
      <c r="AG42" s="488" t="n">
        <f aca="true">OFFSET(AG42,0,-1)+1</f>
        <v>2</v>
      </c>
      <c r="AH42" s="488" t="n">
        <f aca="true">OFFSET(AH42,0,-1)+1</f>
        <v>3</v>
      </c>
      <c r="AI42" s="488" t="n">
        <f aca="true">OFFSET(AI42,0,-1)+1</f>
        <v>4</v>
      </c>
      <c r="AJ42" s="488"/>
      <c r="AK42" s="488" t="n">
        <f aca="true">OFFSET(AK42,0,-2)+1</f>
        <v>5</v>
      </c>
      <c r="AL42" s="487" t="n">
        <f aca="true">OFFSET(AL42,0,-1)</f>
        <v>5</v>
      </c>
      <c r="AM42" s="488" t="n">
        <f aca="true">OFFSET(AM42,0,-1)+1</f>
        <v>6</v>
      </c>
      <c r="AN42" s="47"/>
      <c r="AO42" s="47"/>
      <c r="AP42" s="47"/>
      <c r="AQ42" s="47"/>
      <c r="AR42" s="47"/>
    </row>
    <row r="43" customFormat="false" ht="21" hidden="false" customHeight="true" outlineLevel="0" collapsed="false">
      <c r="A43" s="415" t="s">
        <v>187</v>
      </c>
      <c r="B43" s="415"/>
      <c r="C43" s="415"/>
      <c r="D43" s="415"/>
      <c r="E43" s="416" t="n">
        <v>1</v>
      </c>
      <c r="F43" s="415"/>
      <c r="G43" s="415"/>
      <c r="H43" s="415"/>
      <c r="I43" s="415"/>
      <c r="J43" s="415"/>
      <c r="K43" s="415"/>
      <c r="L43" s="417"/>
      <c r="M43" s="40"/>
      <c r="N43" s="40"/>
      <c r="O43" s="40"/>
      <c r="Q43" s="131"/>
      <c r="R43" s="418"/>
      <c r="S43" s="419" t="n">
        <f aca="false">INDEX(PT_DIFFERENTIATION_NUM_NTAR,MATCH(A43,PT_DIFFERENTIATION_NTAR_ID,0))</f>
        <v>0</v>
      </c>
      <c r="T43" s="420" t="s">
        <v>130</v>
      </c>
      <c r="U43" s="421"/>
      <c r="V43" s="422"/>
      <c r="W43" s="422"/>
      <c r="X43" s="422"/>
      <c r="Y43" s="422"/>
      <c r="Z43" s="422"/>
      <c r="AA43" s="422"/>
      <c r="AB43" s="422"/>
      <c r="AC43" s="422"/>
      <c r="AD43" s="423" t="str">
        <f aca="false">INDEX(PT_DIFFERENTIATION_NTAR,MATCH(A43,PT_DIFFERENTIATION_NTAR_ID,0))</f>
        <v/>
      </c>
      <c r="AE43" s="423"/>
      <c r="AF43" s="423"/>
      <c r="AG43" s="423"/>
      <c r="AH43" s="423"/>
      <c r="AI43" s="423"/>
      <c r="AJ43" s="423"/>
      <c r="AK43" s="423"/>
      <c r="AL43" s="423"/>
      <c r="AM43" s="424"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7"/>
      <c r="AP43" s="117" t="str">
        <f aca="false">IF(T43="","",T43)</f>
        <v>Наименование тарифа</v>
      </c>
      <c r="AQ43" s="117"/>
      <c r="AR43" s="117"/>
    </row>
    <row r="44" customFormat="false" ht="21" hidden="false" customHeight="true" outlineLevel="0" collapsed="false">
      <c r="A44" s="415" t="s">
        <v>187</v>
      </c>
      <c r="B44" s="415" t="s">
        <v>188</v>
      </c>
      <c r="C44" s="415"/>
      <c r="D44" s="415"/>
      <c r="E44" s="416"/>
      <c r="F44" s="416" t="n">
        <v>1</v>
      </c>
      <c r="G44" s="415"/>
      <c r="H44" s="415"/>
      <c r="I44" s="415"/>
      <c r="J44" s="415"/>
      <c r="K44" s="415"/>
      <c r="L44" s="417"/>
      <c r="M44" s="40"/>
      <c r="N44" s="40"/>
      <c r="O44" s="40"/>
      <c r="P44" s="43"/>
      <c r="Q44" s="425"/>
      <c r="R44" s="426"/>
      <c r="S44" s="419" t="str">
        <f aca="false">INDEX(PT_DIFFERENTIATION_NUM_TER,MATCH(B44,PT_DIFFERENTIATION_TER_ID,0))</f>
        <v>.</v>
      </c>
      <c r="T44" s="427" t="s">
        <v>413</v>
      </c>
      <c r="U44" s="421"/>
      <c r="V44" s="422"/>
      <c r="W44" s="422"/>
      <c r="X44" s="422"/>
      <c r="Y44" s="422"/>
      <c r="Z44" s="422"/>
      <c r="AA44" s="422"/>
      <c r="AB44" s="422"/>
      <c r="AC44" s="422"/>
      <c r="AD44" s="423" t="str">
        <f aca="false">INDEX(PT_DIFFERENTIATION_TER,MATCH(B44,PT_DIFFERENTIATION_TER_ID,0))</f>
        <v/>
      </c>
      <c r="AE44" s="423"/>
      <c r="AF44" s="423"/>
      <c r="AG44" s="423"/>
      <c r="AH44" s="423"/>
      <c r="AI44" s="423"/>
      <c r="AJ44" s="423"/>
      <c r="AK44" s="423"/>
      <c r="AL44" s="423"/>
      <c r="AM44" s="424" t="s">
        <v>414</v>
      </c>
      <c r="AO44" s="117"/>
      <c r="AP44" s="117" t="str">
        <f aca="false">IF(T44="","",T44)</f>
        <v>Территория действия тарифа</v>
      </c>
      <c r="AQ44" s="117"/>
      <c r="AR44" s="117"/>
    </row>
    <row r="45" customFormat="false" ht="23.25" hidden="false" customHeight="true" outlineLevel="0" collapsed="false">
      <c r="A45" s="415" t="s">
        <v>187</v>
      </c>
      <c r="B45" s="415" t="s">
        <v>188</v>
      </c>
      <c r="C45" s="415" t="s">
        <v>189</v>
      </c>
      <c r="D45" s="415"/>
      <c r="E45" s="416"/>
      <c r="F45" s="416"/>
      <c r="G45" s="416" t="n">
        <v>1</v>
      </c>
      <c r="H45" s="415"/>
      <c r="I45" s="415"/>
      <c r="J45" s="415"/>
      <c r="K45" s="415"/>
      <c r="L45" s="417"/>
      <c r="M45" s="40"/>
      <c r="N45" s="40"/>
      <c r="O45" s="40"/>
      <c r="P45" s="428"/>
      <c r="Q45" s="425"/>
      <c r="R45" s="426"/>
      <c r="S45" s="419" t="str">
        <f aca="false">INDEX(PT_DIFFERENTIATION_NUM_CS,MATCH(C45,PT_DIFFERENTIATION_CS_ID,0))</f>
        <v>..</v>
      </c>
      <c r="T45" s="429" t="s">
        <v>415</v>
      </c>
      <c r="U45" s="421"/>
      <c r="V45" s="422"/>
      <c r="W45" s="422"/>
      <c r="X45" s="422"/>
      <c r="Y45" s="422"/>
      <c r="Z45" s="422"/>
      <c r="AA45" s="422"/>
      <c r="AB45" s="422"/>
      <c r="AC45" s="422"/>
      <c r="AD45" s="423" t="str">
        <f aca="false">INDEX(PT_DIFFERENTIATION_CS,MATCH(C45,PT_DIFFERENTIATION_CS_ID,0))</f>
        <v/>
      </c>
      <c r="AE45" s="423"/>
      <c r="AF45" s="423"/>
      <c r="AG45" s="423"/>
      <c r="AH45" s="423"/>
      <c r="AI45" s="423"/>
      <c r="AJ45" s="423"/>
      <c r="AK45" s="423"/>
      <c r="AL45" s="423"/>
      <c r="AM45" s="424" t="s">
        <v>416</v>
      </c>
      <c r="AO45" s="117"/>
      <c r="AP45" s="117" t="str">
        <f aca="false">IF(T45="","",T45)</f>
        <v>Наименование системы теплоснабжения</v>
      </c>
      <c r="AQ45" s="117"/>
      <c r="AR45" s="117"/>
    </row>
    <row r="46" customFormat="false" ht="21" hidden="false" customHeight="true" outlineLevel="0" collapsed="false">
      <c r="A46" s="415" t="s">
        <v>187</v>
      </c>
      <c r="B46" s="415" t="s">
        <v>188</v>
      </c>
      <c r="C46" s="415" t="s">
        <v>189</v>
      </c>
      <c r="D46" s="415" t="s">
        <v>190</v>
      </c>
      <c r="E46" s="416"/>
      <c r="F46" s="416"/>
      <c r="G46" s="416"/>
      <c r="H46" s="416" t="n">
        <v>1</v>
      </c>
      <c r="I46" s="415"/>
      <c r="J46" s="415"/>
      <c r="K46" s="415"/>
      <c r="L46" s="417"/>
      <c r="M46" s="40"/>
      <c r="N46" s="40"/>
      <c r="O46" s="40"/>
      <c r="P46" s="428"/>
      <c r="Q46" s="425"/>
      <c r="R46" s="426"/>
      <c r="S46" s="419" t="str">
        <f aca="false">INDEX(PT_DIFFERENTIATION_NUM_IST_TE,MATCH(D46,PT_DIFFERENTIATION_IST_TE_ID,0))</f>
        <v>...</v>
      </c>
      <c r="T46" s="430" t="s">
        <v>417</v>
      </c>
      <c r="U46" s="421"/>
      <c r="V46" s="422"/>
      <c r="W46" s="422"/>
      <c r="X46" s="422"/>
      <c r="Y46" s="422"/>
      <c r="Z46" s="422"/>
      <c r="AA46" s="422"/>
      <c r="AB46" s="422"/>
      <c r="AC46" s="422"/>
      <c r="AD46" s="423" t="str">
        <f aca="false">INDEX(PT_DIFFERENTIATION_IST_TE,MATCH(D46,PT_DIFFERENTIATION_IST_TE_ID,0))</f>
        <v/>
      </c>
      <c r="AE46" s="423"/>
      <c r="AF46" s="423"/>
      <c r="AG46" s="423"/>
      <c r="AH46" s="423"/>
      <c r="AI46" s="423"/>
      <c r="AJ46" s="423"/>
      <c r="AK46" s="423"/>
      <c r="AL46" s="423"/>
      <c r="AM46" s="424" t="s">
        <v>418</v>
      </c>
      <c r="AO46" s="117"/>
      <c r="AP46" s="117" t="str">
        <f aca="false">IF(T46="","",T46)</f>
        <v>Источник тепловой энергии</v>
      </c>
      <c r="AQ46" s="117"/>
      <c r="AR46" s="117"/>
    </row>
    <row r="47" s="47" customFormat="true" ht="12.8" hidden="false" customHeight="false" outlineLevel="0" collapsed="false">
      <c r="A47" s="121" t="s">
        <v>187</v>
      </c>
      <c r="B47" s="121" t="s">
        <v>188</v>
      </c>
      <c r="C47" s="121" t="s">
        <v>189</v>
      </c>
      <c r="D47" s="121" t="s">
        <v>190</v>
      </c>
      <c r="E47" s="416"/>
      <c r="F47" s="416"/>
      <c r="G47" s="416"/>
      <c r="H47" s="416"/>
      <c r="I47" s="431" t="str">
        <f aca="false">S46&amp;".1"</f>
        <v>....1</v>
      </c>
      <c r="J47" s="121"/>
      <c r="K47" s="121"/>
      <c r="L47" s="191" t="s">
        <v>419</v>
      </c>
      <c r="M47" s="510"/>
      <c r="N47" s="510"/>
      <c r="O47" s="510"/>
      <c r="P47" s="120" t="n">
        <v>1</v>
      </c>
      <c r="Q47" s="120"/>
      <c r="R47" s="432"/>
      <c r="S47" s="305"/>
      <c r="T47" s="502"/>
      <c r="U47" s="503"/>
      <c r="V47" s="504"/>
      <c r="W47" s="504"/>
      <c r="X47" s="504"/>
      <c r="Y47" s="504"/>
      <c r="Z47" s="504"/>
      <c r="AA47" s="504"/>
      <c r="AB47" s="504"/>
      <c r="AC47" s="504"/>
      <c r="AD47" s="504"/>
      <c r="AE47" s="504"/>
      <c r="AF47" s="504"/>
      <c r="AG47" s="504"/>
      <c r="AH47" s="504"/>
      <c r="AI47" s="504"/>
      <c r="AJ47" s="504"/>
      <c r="AK47" s="504"/>
      <c r="AL47" s="504"/>
      <c r="AM47" s="505"/>
      <c r="AO47" s="117"/>
      <c r="AP47" s="117" t="str">
        <f aca="false">IF(T47="","",T47)</f>
        <v/>
      </c>
      <c r="AQ47" s="117"/>
      <c r="AR47" s="117"/>
    </row>
    <row r="48" customFormat="false" ht="21" hidden="false" customHeight="true" outlineLevel="0" collapsed="false">
      <c r="A48" s="415" t="s">
        <v>187</v>
      </c>
      <c r="B48" s="415" t="s">
        <v>188</v>
      </c>
      <c r="C48" s="415" t="s">
        <v>189</v>
      </c>
      <c r="D48" s="415" t="s">
        <v>190</v>
      </c>
      <c r="E48" s="416"/>
      <c r="F48" s="416"/>
      <c r="G48" s="416"/>
      <c r="H48" s="416"/>
      <c r="I48" s="431"/>
      <c r="J48" s="431" t="str">
        <f aca="false">S46&amp;".1"</f>
        <v>....1</v>
      </c>
      <c r="K48" s="415"/>
      <c r="L48" s="417" t="s">
        <v>422</v>
      </c>
      <c r="P48" s="120"/>
      <c r="Q48" s="120" t="n">
        <v>1</v>
      </c>
      <c r="R48" s="435"/>
      <c r="S48" s="419" t="str">
        <f aca="false">$J48</f>
        <v>....1</v>
      </c>
      <c r="T48" s="436" t="s">
        <v>423</v>
      </c>
      <c r="U48" s="421"/>
      <c r="V48" s="434"/>
      <c r="W48" s="434"/>
      <c r="X48" s="434"/>
      <c r="Y48" s="434"/>
      <c r="Z48" s="434"/>
      <c r="AA48" s="434"/>
      <c r="AB48" s="434"/>
      <c r="AC48" s="434"/>
      <c r="AD48" s="434"/>
      <c r="AE48" s="434"/>
      <c r="AF48" s="434"/>
      <c r="AG48" s="434"/>
      <c r="AH48" s="434"/>
      <c r="AI48" s="434"/>
      <c r="AJ48" s="434"/>
      <c r="AK48" s="434"/>
      <c r="AL48" s="434"/>
      <c r="AM48" s="424" t="s">
        <v>424</v>
      </c>
      <c r="AO48" s="117"/>
      <c r="AP48" s="117" t="str">
        <f aca="false">IF(T48="","",T48)</f>
        <v>Группа потребителей</v>
      </c>
      <c r="AQ48" s="117"/>
      <c r="AR48" s="117"/>
    </row>
    <row r="49" customFormat="false" ht="21" hidden="false" customHeight="true" outlineLevel="0" collapsed="false">
      <c r="A49" s="415" t="s">
        <v>187</v>
      </c>
      <c r="B49" s="415" t="s">
        <v>188</v>
      </c>
      <c r="C49" s="415" t="s">
        <v>189</v>
      </c>
      <c r="D49" s="415" t="s">
        <v>190</v>
      </c>
      <c r="E49" s="416"/>
      <c r="F49" s="416"/>
      <c r="G49" s="416"/>
      <c r="H49" s="416"/>
      <c r="I49" s="431"/>
      <c r="J49" s="431"/>
      <c r="K49" s="431" t="str">
        <f aca="false">J48&amp;".1"</f>
        <v>....1.1</v>
      </c>
      <c r="L49" s="417" t="s">
        <v>425</v>
      </c>
      <c r="P49" s="120"/>
      <c r="Q49" s="120"/>
      <c r="R49" s="435" t="n">
        <v>1</v>
      </c>
      <c r="S49" s="419" t="str">
        <f aca="false">$K49</f>
        <v>....1.1</v>
      </c>
      <c r="T49" s="437"/>
      <c r="U49" s="421"/>
      <c r="V49" s="438"/>
      <c r="W49" s="439"/>
      <c r="X49" s="438"/>
      <c r="Y49" s="440"/>
      <c r="Z49" s="441"/>
      <c r="AA49" s="203" t="s">
        <v>63</v>
      </c>
      <c r="AB49" s="441"/>
      <c r="AC49" s="203" t="s">
        <v>63</v>
      </c>
      <c r="AD49" s="438"/>
      <c r="AE49" s="439"/>
      <c r="AF49" s="438"/>
      <c r="AG49" s="440"/>
      <c r="AH49" s="441"/>
      <c r="AI49" s="203" t="s">
        <v>63</v>
      </c>
      <c r="AJ49" s="441"/>
      <c r="AK49" s="203" t="s">
        <v>63</v>
      </c>
      <c r="AL49" s="489"/>
      <c r="AM49" s="442" t="s">
        <v>464</v>
      </c>
      <c r="AN49" s="47" t="e">
        <f aca="false">strcheckdate(V50:AL50)</f>
        <v>#NAME?</v>
      </c>
      <c r="AO49" s="117"/>
      <c r="AP49" s="117" t="str">
        <f aca="false">IF(T49="","",T49)</f>
        <v/>
      </c>
      <c r="AQ49" s="117"/>
      <c r="AR49" s="117"/>
    </row>
    <row r="50" customFormat="false" ht="0.75" hidden="false" customHeight="true" outlineLevel="0" collapsed="false">
      <c r="A50" s="415" t="s">
        <v>187</v>
      </c>
      <c r="B50" s="415" t="s">
        <v>188</v>
      </c>
      <c r="C50" s="415" t="s">
        <v>189</v>
      </c>
      <c r="D50" s="415" t="s">
        <v>190</v>
      </c>
      <c r="E50" s="416"/>
      <c r="F50" s="416"/>
      <c r="G50" s="416"/>
      <c r="H50" s="416"/>
      <c r="I50" s="431"/>
      <c r="J50" s="431"/>
      <c r="K50" s="431"/>
      <c r="L50" s="417"/>
      <c r="P50" s="120"/>
      <c r="Q50" s="120"/>
      <c r="R50" s="435"/>
      <c r="S50" s="396"/>
      <c r="T50" s="421"/>
      <c r="U50" s="421"/>
      <c r="V50" s="439"/>
      <c r="W50" s="439"/>
      <c r="X50" s="439"/>
      <c r="Y50" s="443" t="str">
        <f aca="false">Z49&amp;"-"&amp;AB49</f>
        <v>-</v>
      </c>
      <c r="Z50" s="441"/>
      <c r="AA50" s="203"/>
      <c r="AB50" s="441"/>
      <c r="AC50" s="203"/>
      <c r="AD50" s="439"/>
      <c r="AE50" s="439"/>
      <c r="AF50" s="439"/>
      <c r="AG50" s="443" t="str">
        <f aca="false">AH49&amp;"-"&amp;AJ49</f>
        <v>-</v>
      </c>
      <c r="AH50" s="441"/>
      <c r="AI50" s="203"/>
      <c r="AJ50" s="441"/>
      <c r="AK50" s="203"/>
      <c r="AL50" s="490"/>
      <c r="AM50" s="442"/>
      <c r="AO50" s="117"/>
      <c r="AP50" s="117" t="str">
        <f aca="false">IF(T50="","",T50)</f>
        <v/>
      </c>
      <c r="AQ50" s="117"/>
      <c r="AR50" s="117"/>
    </row>
    <row r="51" customFormat="false" ht="11.25" hidden="false" customHeight="true" outlineLevel="0" collapsed="false">
      <c r="A51" s="415" t="s">
        <v>187</v>
      </c>
      <c r="B51" s="415" t="s">
        <v>188</v>
      </c>
      <c r="C51" s="415" t="s">
        <v>189</v>
      </c>
      <c r="D51" s="415" t="s">
        <v>190</v>
      </c>
      <c r="E51" s="416"/>
      <c r="F51" s="416"/>
      <c r="G51" s="416"/>
      <c r="H51" s="416"/>
      <c r="I51" s="431"/>
      <c r="J51" s="431"/>
      <c r="K51" s="415"/>
      <c r="L51" s="417"/>
      <c r="P51" s="120"/>
      <c r="Q51" s="120"/>
      <c r="R51" s="432"/>
      <c r="S51" s="444"/>
      <c r="T51" s="447" t="s">
        <v>427</v>
      </c>
      <c r="U51" s="193"/>
      <c r="V51" s="193"/>
      <c r="W51" s="193"/>
      <c r="X51" s="193"/>
      <c r="Y51" s="193"/>
      <c r="Z51" s="193"/>
      <c r="AA51" s="193"/>
      <c r="AB51" s="193"/>
      <c r="AC51" s="193"/>
      <c r="AD51" s="193"/>
      <c r="AE51" s="193"/>
      <c r="AF51" s="193"/>
      <c r="AG51" s="193"/>
      <c r="AH51" s="193"/>
      <c r="AI51" s="193"/>
      <c r="AJ51" s="193"/>
      <c r="AK51" s="193"/>
      <c r="AL51" s="446"/>
      <c r="AM51" s="442"/>
      <c r="AO51" s="117"/>
      <c r="AP51" s="117" t="str">
        <f aca="false">IF(T51="","",T51)</f>
        <v>Добавить вид теплоносителя (параметры теплоносителя)</v>
      </c>
      <c r="AQ51" s="117"/>
      <c r="AR51" s="117"/>
    </row>
    <row r="52" customFormat="false" ht="11.25" hidden="false" customHeight="true" outlineLevel="0" collapsed="false">
      <c r="A52" s="415" t="s">
        <v>187</v>
      </c>
      <c r="B52" s="415" t="s">
        <v>188</v>
      </c>
      <c r="C52" s="415" t="s">
        <v>189</v>
      </c>
      <c r="D52" s="415" t="s">
        <v>190</v>
      </c>
      <c r="E52" s="416"/>
      <c r="F52" s="416"/>
      <c r="G52" s="416"/>
      <c r="H52" s="416"/>
      <c r="I52" s="431"/>
      <c r="J52" s="415"/>
      <c r="K52" s="415"/>
      <c r="L52" s="417"/>
      <c r="P52" s="120"/>
      <c r="Q52" s="120"/>
      <c r="R52" s="432"/>
      <c r="S52" s="444"/>
      <c r="T52" s="451" t="s">
        <v>428</v>
      </c>
      <c r="U52" s="193"/>
      <c r="V52" s="193"/>
      <c r="W52" s="193"/>
      <c r="X52" s="193"/>
      <c r="Y52" s="193"/>
      <c r="Z52" s="193"/>
      <c r="AA52" s="193"/>
      <c r="AB52" s="193"/>
      <c r="AC52" s="448"/>
      <c r="AD52" s="193"/>
      <c r="AE52" s="193"/>
      <c r="AF52" s="193"/>
      <c r="AG52" s="193"/>
      <c r="AH52" s="193"/>
      <c r="AI52" s="193"/>
      <c r="AJ52" s="193"/>
      <c r="AK52" s="448"/>
      <c r="AL52" s="193"/>
      <c r="AM52" s="449"/>
      <c r="AO52" s="117"/>
      <c r="AP52" s="117" t="str">
        <f aca="false">IF(T52="","",T52)</f>
        <v>Добавить группу потребителей</v>
      </c>
      <c r="AQ52" s="117"/>
      <c r="AR52" s="117"/>
    </row>
    <row r="53" customFormat="false" ht="12.8" hidden="false" customHeight="false" outlineLevel="0" collapsed="false">
      <c r="A53" s="415" t="s">
        <v>187</v>
      </c>
      <c r="B53" s="415" t="s">
        <v>188</v>
      </c>
      <c r="C53" s="415" t="s">
        <v>189</v>
      </c>
      <c r="D53" s="415" t="s">
        <v>190</v>
      </c>
      <c r="E53" s="416"/>
      <c r="F53" s="416"/>
      <c r="G53" s="416"/>
      <c r="H53" s="416"/>
      <c r="I53" s="415"/>
      <c r="J53" s="415"/>
      <c r="K53" s="415"/>
      <c r="L53" s="417"/>
      <c r="M53" s="40"/>
      <c r="N53" s="40"/>
      <c r="O53" s="45"/>
      <c r="P53" s="131"/>
      <c r="Q53" s="450"/>
      <c r="R53" s="418"/>
      <c r="S53" s="506"/>
      <c r="T53" s="507"/>
      <c r="U53" s="508"/>
      <c r="V53" s="508"/>
      <c r="W53" s="508"/>
      <c r="X53" s="508"/>
      <c r="Y53" s="508"/>
      <c r="Z53" s="508"/>
      <c r="AA53" s="508"/>
      <c r="AB53" s="508"/>
      <c r="AC53" s="508"/>
      <c r="AD53" s="508"/>
      <c r="AE53" s="508"/>
      <c r="AF53" s="508"/>
      <c r="AG53" s="508"/>
      <c r="AH53" s="508"/>
      <c r="AI53" s="508"/>
      <c r="AJ53" s="508"/>
      <c r="AK53" s="508"/>
      <c r="AL53" s="508"/>
      <c r="AM53" s="509"/>
      <c r="AO53" s="117"/>
      <c r="AP53" s="117" t="str">
        <f aca="false">IF(T53="","",T53)</f>
        <v/>
      </c>
      <c r="AQ53" s="117"/>
      <c r="AR53" s="117"/>
    </row>
    <row r="54" s="47" customFormat="true" ht="0.75" hidden="false" customHeight="true" outlineLevel="0" collapsed="false">
      <c r="A54" s="121" t="s">
        <v>187</v>
      </c>
      <c r="B54" s="121" t="s">
        <v>188</v>
      </c>
      <c r="C54" s="121" t="s">
        <v>189</v>
      </c>
      <c r="D54" s="121"/>
      <c r="E54" s="416"/>
      <c r="F54" s="416"/>
      <c r="G54" s="416"/>
      <c r="H54" s="121"/>
      <c r="I54" s="121"/>
      <c r="J54" s="121"/>
      <c r="K54" s="121"/>
      <c r="L54" s="191"/>
      <c r="M54" s="46"/>
      <c r="N54" s="46"/>
      <c r="P54" s="155"/>
      <c r="Q54" s="452"/>
      <c r="R54" s="155"/>
      <c r="S54" s="457"/>
      <c r="T54" s="460" t="s">
        <v>430</v>
      </c>
      <c r="U54" s="459"/>
      <c r="V54" s="459"/>
      <c r="W54" s="459"/>
      <c r="X54" s="459"/>
      <c r="Y54" s="459"/>
      <c r="Z54" s="459"/>
      <c r="AA54" s="459"/>
      <c r="AB54" s="459"/>
      <c r="AC54" s="459"/>
      <c r="AD54" s="459"/>
      <c r="AE54" s="459"/>
      <c r="AF54" s="459"/>
      <c r="AG54" s="459"/>
      <c r="AH54" s="459"/>
      <c r="AI54" s="459"/>
      <c r="AJ54" s="459"/>
      <c r="AK54" s="459"/>
      <c r="AL54" s="459"/>
      <c r="AM54" s="459"/>
      <c r="AO54" s="117"/>
      <c r="AP54" s="117" t="str">
        <f aca="false">IF(T54="","",T54)</f>
        <v>Добавить источник для дифференциации</v>
      </c>
      <c r="AQ54" s="117"/>
      <c r="AR54" s="117"/>
    </row>
    <row r="55" s="47" customFormat="true" ht="0.75" hidden="false" customHeight="true" outlineLevel="0" collapsed="false">
      <c r="A55" s="121" t="s">
        <v>187</v>
      </c>
      <c r="B55" s="121" t="s">
        <v>188</v>
      </c>
      <c r="C55" s="121"/>
      <c r="D55" s="121"/>
      <c r="E55" s="416"/>
      <c r="F55" s="416"/>
      <c r="G55" s="121"/>
      <c r="H55" s="121"/>
      <c r="I55" s="121"/>
      <c r="J55" s="121"/>
      <c r="K55" s="121"/>
      <c r="L55" s="191"/>
      <c r="M55" s="456"/>
      <c r="N55" s="456"/>
      <c r="P55" s="155"/>
      <c r="Q55" s="452"/>
      <c r="R55" s="155"/>
      <c r="S55" s="457"/>
      <c r="T55" s="460" t="s">
        <v>261</v>
      </c>
      <c r="U55" s="459"/>
      <c r="V55" s="459"/>
      <c r="W55" s="459"/>
      <c r="X55" s="459"/>
      <c r="Y55" s="459"/>
      <c r="Z55" s="459"/>
      <c r="AA55" s="459"/>
      <c r="AB55" s="459"/>
      <c r="AC55" s="459"/>
      <c r="AD55" s="459"/>
      <c r="AE55" s="459"/>
      <c r="AF55" s="459"/>
      <c r="AG55" s="459"/>
      <c r="AH55" s="459"/>
      <c r="AI55" s="459"/>
      <c r="AJ55" s="459"/>
      <c r="AK55" s="459"/>
      <c r="AL55" s="459"/>
      <c r="AM55" s="459"/>
      <c r="AO55" s="117"/>
      <c r="AP55" s="117" t="str">
        <f aca="false">IF(T55="","",T55)</f>
        <v>Добавить централизованную систему для дифференциации</v>
      </c>
      <c r="AQ55" s="117"/>
      <c r="AR55" s="117"/>
    </row>
    <row r="56" s="47" customFormat="true" ht="0.75" hidden="false" customHeight="true" outlineLevel="0" collapsed="false">
      <c r="A56" s="121" t="s">
        <v>187</v>
      </c>
      <c r="B56" s="121"/>
      <c r="C56" s="121"/>
      <c r="D56" s="121"/>
      <c r="E56" s="416"/>
      <c r="F56" s="121"/>
      <c r="G56" s="121"/>
      <c r="H56" s="121"/>
      <c r="I56" s="121"/>
      <c r="J56" s="121"/>
      <c r="K56" s="121"/>
      <c r="L56" s="191"/>
      <c r="M56" s="456"/>
      <c r="N56" s="456"/>
      <c r="P56" s="155"/>
      <c r="Q56" s="452"/>
      <c r="R56" s="155"/>
      <c r="S56" s="457"/>
      <c r="T56" s="460" t="s">
        <v>268</v>
      </c>
      <c r="U56" s="459"/>
      <c r="V56" s="459"/>
      <c r="W56" s="459"/>
      <c r="X56" s="459"/>
      <c r="Y56" s="459"/>
      <c r="Z56" s="459"/>
      <c r="AA56" s="459"/>
      <c r="AB56" s="459"/>
      <c r="AC56" s="459"/>
      <c r="AD56" s="459"/>
      <c r="AE56" s="459"/>
      <c r="AF56" s="459"/>
      <c r="AG56" s="459"/>
      <c r="AH56" s="459"/>
      <c r="AI56" s="459"/>
      <c r="AJ56" s="459"/>
      <c r="AK56" s="459"/>
      <c r="AL56" s="459"/>
      <c r="AM56" s="459"/>
      <c r="AO56" s="117"/>
      <c r="AP56" s="117" t="str">
        <f aca="false">IF(T56="","",T56)</f>
        <v>Добавить территорию для дифференциации</v>
      </c>
      <c r="AQ56" s="117"/>
      <c r="AR56" s="117"/>
    </row>
    <row r="57" s="47" customFormat="true" ht="0.75" hidden="false" customHeight="true" outlineLevel="0" collapsed="false">
      <c r="A57" s="121"/>
      <c r="B57" s="121"/>
      <c r="C57" s="121"/>
      <c r="D57" s="121"/>
      <c r="E57" s="121"/>
      <c r="F57" s="121"/>
      <c r="G57" s="121"/>
      <c r="H57" s="121"/>
      <c r="I57" s="121"/>
      <c r="J57" s="121"/>
      <c r="K57" s="121"/>
      <c r="L57" s="191"/>
      <c r="M57" s="456"/>
      <c r="N57" s="456"/>
      <c r="P57" s="155"/>
      <c r="Q57" s="452"/>
      <c r="R57" s="155"/>
      <c r="S57" s="457"/>
      <c r="T57" s="460" t="s">
        <v>269</v>
      </c>
      <c r="U57" s="459"/>
      <c r="V57" s="459"/>
      <c r="W57" s="459"/>
      <c r="X57" s="459"/>
      <c r="Y57" s="459"/>
      <c r="Z57" s="459"/>
      <c r="AA57" s="459"/>
      <c r="AB57" s="459"/>
      <c r="AC57" s="459"/>
      <c r="AD57" s="459"/>
      <c r="AE57" s="459"/>
      <c r="AF57" s="459"/>
      <c r="AG57" s="459"/>
      <c r="AH57" s="459"/>
      <c r="AI57" s="459"/>
      <c r="AJ57" s="459"/>
      <c r="AK57" s="459"/>
      <c r="AL57" s="459"/>
      <c r="AM57" s="459"/>
      <c r="AO57" s="117"/>
      <c r="AP57" s="117" t="str">
        <f aca="false">IF(T57="","",T57)</f>
        <v>Добавить наименование тарифа</v>
      </c>
      <c r="AQ57" s="117"/>
      <c r="AR57" s="117"/>
    </row>
    <row r="58" customFormat="false" ht="11.25" hidden="false" customHeight="true" outlineLevel="0" collapsed="false">
      <c r="M58" s="45"/>
      <c r="N58" s="45"/>
      <c r="O58" s="45"/>
      <c r="P58" s="42"/>
      <c r="Q58" s="42"/>
      <c r="R58" s="42"/>
      <c r="S58" s="42"/>
      <c r="AN58" s="42"/>
      <c r="AO58" s="42"/>
      <c r="AP58" s="42"/>
      <c r="AQ58" s="42"/>
      <c r="AR58" s="42"/>
    </row>
    <row r="59" customFormat="false" ht="21.75" hidden="false" customHeight="true" outlineLevel="0" collapsed="false">
      <c r="O59" s="45"/>
      <c r="S59" s="412"/>
      <c r="T59" s="491"/>
      <c r="U59" s="491"/>
      <c r="V59" s="491"/>
      <c r="W59" s="491"/>
      <c r="X59" s="491"/>
      <c r="Y59" s="491"/>
      <c r="Z59" s="491"/>
      <c r="AA59" s="491"/>
      <c r="AB59" s="491"/>
      <c r="AC59" s="491"/>
      <c r="AD59" s="491"/>
      <c r="AE59" s="491"/>
      <c r="AF59" s="491"/>
      <c r="AG59" s="491"/>
      <c r="AH59" s="491"/>
      <c r="AI59" s="491"/>
      <c r="AJ59" s="491"/>
      <c r="AK59" s="491"/>
      <c r="AL59" s="491"/>
      <c r="AM59" s="491"/>
    </row>
    <row r="60" customFormat="false" ht="29.25" hidden="false" customHeight="true" outlineLevel="0" collapsed="false">
      <c r="O60" s="45"/>
      <c r="T60" s="491"/>
      <c r="U60" s="491"/>
      <c r="V60" s="491"/>
      <c r="W60" s="491"/>
      <c r="X60" s="491"/>
      <c r="Y60" s="491"/>
      <c r="Z60" s="491"/>
      <c r="AA60" s="491"/>
      <c r="AB60" s="491"/>
      <c r="AC60" s="491"/>
      <c r="AD60" s="491"/>
      <c r="AE60" s="491"/>
      <c r="AF60" s="491"/>
      <c r="AG60" s="491"/>
      <c r="AH60" s="491"/>
      <c r="AI60" s="491"/>
      <c r="AJ60" s="491"/>
      <c r="AK60" s="491"/>
      <c r="AL60" s="491"/>
      <c r="AM60" s="491"/>
    </row>
    <row r="61" customFormat="false" ht="39.75" hidden="false" customHeight="true" outlineLevel="0" collapsed="false">
      <c r="O61" s="45"/>
      <c r="T61" s="491"/>
      <c r="U61" s="491"/>
      <c r="V61" s="491"/>
      <c r="W61" s="491"/>
      <c r="X61" s="491"/>
      <c r="Y61" s="491"/>
      <c r="Z61" s="491"/>
      <c r="AA61" s="491"/>
      <c r="AB61" s="491"/>
      <c r="AC61" s="491"/>
      <c r="AD61" s="491"/>
      <c r="AE61" s="491"/>
      <c r="AF61" s="491"/>
      <c r="AG61" s="491"/>
      <c r="AH61" s="491"/>
      <c r="AI61" s="491"/>
      <c r="AJ61" s="491"/>
      <c r="AK61" s="491"/>
      <c r="AL61" s="491"/>
      <c r="AM61" s="491"/>
    </row>
    <row r="62" customFormat="false" ht="14.25" hidden="false" customHeight="true" outlineLevel="0" collapsed="false">
      <c r="O62" s="45"/>
    </row>
    <row r="63" customFormat="false" ht="19.5" hidden="false" customHeight="true" outlineLevel="0" collapsed="false">
      <c r="O63" s="45"/>
      <c r="S63" s="412"/>
      <c r="T63" s="241"/>
      <c r="U63" s="241"/>
      <c r="V63" s="241"/>
      <c r="W63" s="241"/>
      <c r="X63" s="241"/>
      <c r="Y63" s="241"/>
      <c r="Z63" s="241"/>
      <c r="AA63" s="241"/>
      <c r="AB63" s="241"/>
      <c r="AC63" s="241"/>
      <c r="AD63" s="241"/>
      <c r="AE63" s="241"/>
      <c r="AF63" s="241"/>
      <c r="AG63" s="241"/>
      <c r="AH63" s="241"/>
      <c r="AI63" s="241"/>
      <c r="AJ63" s="241"/>
      <c r="AK63" s="241"/>
      <c r="AL63" s="241"/>
      <c r="AM63" s="241"/>
    </row>
    <row r="64" customFormat="false" ht="27.75" hidden="false" customHeight="true" outlineLevel="0" collapsed="false">
      <c r="O64" s="45"/>
      <c r="T64" s="491"/>
      <c r="U64" s="491"/>
      <c r="V64" s="491"/>
      <c r="W64" s="491"/>
      <c r="X64" s="491"/>
      <c r="Y64" s="491"/>
      <c r="Z64" s="491"/>
      <c r="AA64" s="491"/>
      <c r="AB64" s="491"/>
      <c r="AC64" s="491"/>
      <c r="AD64" s="491"/>
      <c r="AE64" s="491"/>
      <c r="AF64" s="491"/>
      <c r="AG64" s="491"/>
      <c r="AH64" s="491"/>
      <c r="AI64" s="491"/>
      <c r="AJ64" s="491"/>
      <c r="AK64" s="491"/>
      <c r="AL64" s="491"/>
      <c r="AM64" s="491"/>
    </row>
    <row r="65" customFormat="false" ht="33.75" hidden="false" customHeight="true" outlineLevel="0" collapsed="false">
      <c r="T65" s="491"/>
      <c r="U65" s="491"/>
      <c r="V65" s="491"/>
      <c r="W65" s="491"/>
      <c r="X65" s="491"/>
      <c r="Y65" s="491"/>
      <c r="Z65" s="491"/>
      <c r="AA65" s="491"/>
      <c r="AB65" s="491"/>
      <c r="AC65" s="491"/>
      <c r="AD65" s="491"/>
      <c r="AE65" s="491"/>
      <c r="AF65" s="491"/>
      <c r="AG65" s="491"/>
      <c r="AH65" s="491"/>
      <c r="AI65" s="491"/>
      <c r="AJ65" s="491"/>
      <c r="AK65" s="491"/>
      <c r="AL65" s="491"/>
      <c r="AM65" s="491"/>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true" outlineLevel="0" max="16" min="16" style="50" width="3.71"/>
    <col collapsed="false" customWidth="true" hidden="false" outlineLevel="0" max="18" min="17" style="414" width="3.71"/>
    <col collapsed="false" customWidth="true" hidden="false" outlineLevel="0" max="19" min="19" style="75" width="12.71"/>
    <col collapsed="false" customWidth="true" hidden="false" outlineLevel="0" max="20" min="20" style="42" width="32"/>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7" width="10.57"/>
    <col collapsed="false" customWidth="true" hidden="false" outlineLevel="0" max="42" min="42" style="47" width="11.14"/>
    <col collapsed="false" customWidth="false" hidden="false" outlineLevel="0" max="44" min="43" style="47" width="10.57"/>
  </cols>
  <sheetData>
    <row r="1" customFormat="false" ht="14.25" hidden="true" customHeight="true" outlineLevel="0" collapsed="false"/>
    <row r="2" customFormat="false" ht="21" hidden="true" customHeight="true" outlineLevel="0" collapsed="false">
      <c r="A2" s="415"/>
      <c r="B2" s="415"/>
      <c r="C2" s="415"/>
      <c r="D2" s="415"/>
      <c r="E2" s="416" t="n">
        <v>1</v>
      </c>
      <c r="F2" s="415"/>
      <c r="G2" s="415"/>
      <c r="H2" s="415"/>
      <c r="I2" s="415"/>
      <c r="J2" s="415"/>
      <c r="K2" s="415"/>
      <c r="L2" s="417"/>
      <c r="M2" s="40"/>
      <c r="N2" s="40"/>
      <c r="O2" s="40"/>
      <c r="Q2" s="131"/>
      <c r="R2" s="418"/>
      <c r="S2" s="419" t="e">
        <f aca="false">INDEX(PT_DIFFERENTIATION_NUM_NTAR,MATCH(A2,PT_DIFFERENTIATION_NTAR_ID,0))</f>
        <v>#N/A</v>
      </c>
      <c r="T2" s="420" t="s">
        <v>130</v>
      </c>
      <c r="U2" s="421"/>
      <c r="V2" s="422"/>
      <c r="W2" s="422"/>
      <c r="X2" s="422"/>
      <c r="Y2" s="422"/>
      <c r="Z2" s="422"/>
      <c r="AA2" s="422"/>
      <c r="AB2" s="422"/>
      <c r="AC2" s="422"/>
      <c r="AD2" s="423" t="e">
        <f aca="false">INDEX(PT_DIFFERENTIATION_NTAR,MATCH(A2,PT_DIFFERENTIATION_NTAR_ID,0))</f>
        <v>#N/A</v>
      </c>
      <c r="AE2" s="423"/>
      <c r="AF2" s="423"/>
      <c r="AG2" s="423"/>
      <c r="AH2" s="423"/>
      <c r="AI2" s="423"/>
      <c r="AJ2" s="423"/>
      <c r="AK2" s="423"/>
      <c r="AL2" s="423"/>
      <c r="AM2" s="424" t="s">
        <v>412</v>
      </c>
      <c r="AO2" s="117"/>
      <c r="AP2" s="117" t="str">
        <f aca="false">IF(T2="","",T2)</f>
        <v>Наименование тарифа</v>
      </c>
      <c r="AQ2" s="117"/>
      <c r="AR2" s="117"/>
    </row>
    <row r="3" customFormat="false" ht="21" hidden="true" customHeight="true" outlineLevel="0" collapsed="false">
      <c r="A3" s="415"/>
      <c r="B3" s="415"/>
      <c r="C3" s="415"/>
      <c r="D3" s="415"/>
      <c r="E3" s="416"/>
      <c r="F3" s="416" t="n">
        <v>1</v>
      </c>
      <c r="G3" s="415"/>
      <c r="H3" s="415"/>
      <c r="I3" s="415"/>
      <c r="J3" s="415"/>
      <c r="K3" s="415"/>
      <c r="L3" s="417"/>
      <c r="M3" s="40"/>
      <c r="N3" s="40"/>
      <c r="O3" s="40"/>
      <c r="P3" s="43"/>
      <c r="Q3" s="425"/>
      <c r="R3" s="426"/>
      <c r="S3" s="419" t="e">
        <f aca="false">INDEX(PT_DIFFERENTIATION_NUM_TER,MATCH(B3,PT_DIFFERENTIATION_TER_ID,0))</f>
        <v>#N/A</v>
      </c>
      <c r="T3" s="427" t="s">
        <v>413</v>
      </c>
      <c r="U3" s="421"/>
      <c r="V3" s="422"/>
      <c r="W3" s="422"/>
      <c r="X3" s="422"/>
      <c r="Y3" s="422"/>
      <c r="Z3" s="422"/>
      <c r="AA3" s="422"/>
      <c r="AB3" s="422"/>
      <c r="AC3" s="422"/>
      <c r="AD3" s="423" t="e">
        <f aca="false">INDEX(PT_DIFFERENTIATION_TER,MATCH(B3,PT_DIFFERENTIATION_TER_ID,0))</f>
        <v>#N/A</v>
      </c>
      <c r="AE3" s="423"/>
      <c r="AF3" s="423"/>
      <c r="AG3" s="423"/>
      <c r="AH3" s="423"/>
      <c r="AI3" s="423"/>
      <c r="AJ3" s="423"/>
      <c r="AK3" s="423"/>
      <c r="AL3" s="423"/>
      <c r="AM3" s="424" t="s">
        <v>414</v>
      </c>
      <c r="AO3" s="117"/>
      <c r="AP3" s="117" t="str">
        <f aca="false">IF(T3="","",T3)</f>
        <v>Территория действия тарифа</v>
      </c>
      <c r="AQ3" s="117"/>
      <c r="AR3" s="117"/>
    </row>
    <row r="4" customFormat="false" ht="23.25" hidden="true" customHeight="true" outlineLevel="0" collapsed="false">
      <c r="A4" s="415"/>
      <c r="B4" s="415"/>
      <c r="C4" s="415"/>
      <c r="D4" s="415"/>
      <c r="E4" s="416"/>
      <c r="F4" s="416"/>
      <c r="G4" s="416" t="n">
        <v>1</v>
      </c>
      <c r="H4" s="415"/>
      <c r="I4" s="415"/>
      <c r="J4" s="415"/>
      <c r="K4" s="415"/>
      <c r="L4" s="417"/>
      <c r="M4" s="40"/>
      <c r="N4" s="40"/>
      <c r="O4" s="40"/>
      <c r="P4" s="428"/>
      <c r="Q4" s="425"/>
      <c r="R4" s="426"/>
      <c r="S4" s="419" t="e">
        <f aca="false">INDEX(PT_DIFFERENTIATION_NUM_CS,MATCH(C4,PT_DIFFERENTIATION_CS_ID,0))</f>
        <v>#N/A</v>
      </c>
      <c r="T4" s="429" t="s">
        <v>415</v>
      </c>
      <c r="U4" s="421"/>
      <c r="V4" s="422"/>
      <c r="W4" s="422"/>
      <c r="X4" s="422"/>
      <c r="Y4" s="422"/>
      <c r="Z4" s="422"/>
      <c r="AA4" s="422"/>
      <c r="AB4" s="422"/>
      <c r="AC4" s="422"/>
      <c r="AD4" s="423" t="e">
        <f aca="false">INDEX(PT_DIFFERENTIATION_CS,MATCH(C4,PT_DIFFERENTIATION_CS_ID,0))</f>
        <v>#N/A</v>
      </c>
      <c r="AE4" s="423"/>
      <c r="AF4" s="423"/>
      <c r="AG4" s="423"/>
      <c r="AH4" s="423"/>
      <c r="AI4" s="423"/>
      <c r="AJ4" s="423"/>
      <c r="AK4" s="423"/>
      <c r="AL4" s="423"/>
      <c r="AM4" s="424" t="s">
        <v>416</v>
      </c>
      <c r="AO4" s="117"/>
      <c r="AP4" s="117" t="str">
        <f aca="false">IF(T4="","",T4)</f>
        <v>Наименование системы теплоснабжения</v>
      </c>
      <c r="AQ4" s="117"/>
      <c r="AR4" s="117"/>
    </row>
    <row r="5" customFormat="false" ht="21" hidden="true" customHeight="true" outlineLevel="0" collapsed="false">
      <c r="A5" s="415"/>
      <c r="B5" s="415"/>
      <c r="C5" s="415"/>
      <c r="D5" s="415"/>
      <c r="E5" s="416"/>
      <c r="F5" s="416"/>
      <c r="G5" s="416"/>
      <c r="H5" s="416" t="n">
        <v>1</v>
      </c>
      <c r="I5" s="415"/>
      <c r="J5" s="415"/>
      <c r="K5" s="415"/>
      <c r="L5" s="417"/>
      <c r="M5" s="40"/>
      <c r="N5" s="40"/>
      <c r="O5" s="40"/>
      <c r="P5" s="428"/>
      <c r="Q5" s="425"/>
      <c r="R5" s="426"/>
      <c r="S5" s="419" t="e">
        <f aca="false">INDEX(PT_DIFFERENTIATION_NUM_IST_TE,MATCH(D5,PT_DIFFERENTIATION_IST_TE_ID,0))</f>
        <v>#N/A</v>
      </c>
      <c r="T5" s="430" t="s">
        <v>417</v>
      </c>
      <c r="U5" s="421"/>
      <c r="V5" s="422"/>
      <c r="W5" s="422"/>
      <c r="X5" s="422"/>
      <c r="Y5" s="422"/>
      <c r="Z5" s="422"/>
      <c r="AA5" s="422"/>
      <c r="AB5" s="422"/>
      <c r="AC5" s="422"/>
      <c r="AD5" s="423" t="e">
        <f aca="false">INDEX(PT_DIFFERENTIATION_IST_TE,MATCH(D5,PT_DIFFERENTIATION_IST_TE_ID,0))</f>
        <v>#N/A</v>
      </c>
      <c r="AE5" s="423"/>
      <c r="AF5" s="423"/>
      <c r="AG5" s="423"/>
      <c r="AH5" s="423"/>
      <c r="AI5" s="423"/>
      <c r="AJ5" s="423"/>
      <c r="AK5" s="423"/>
      <c r="AL5" s="423"/>
      <c r="AM5" s="424" t="s">
        <v>418</v>
      </c>
      <c r="AO5" s="117"/>
      <c r="AP5" s="117" t="str">
        <f aca="false">IF(T5="","",T5)</f>
        <v>Источник тепловой энергии</v>
      </c>
      <c r="AQ5" s="117"/>
      <c r="AR5" s="117"/>
    </row>
    <row r="6" customFormat="false" ht="14.25" hidden="true" customHeight="true" outlineLevel="0" collapsed="false">
      <c r="A6" s="415"/>
      <c r="B6" s="415"/>
      <c r="C6" s="415"/>
      <c r="D6" s="415"/>
      <c r="E6" s="416"/>
      <c r="F6" s="416"/>
      <c r="G6" s="416"/>
      <c r="H6" s="416"/>
      <c r="I6" s="431" t="e">
        <f aca="false">S5&amp;".1"</f>
        <v>#N/A</v>
      </c>
      <c r="J6" s="415"/>
      <c r="K6" s="415"/>
      <c r="L6" s="417" t="s">
        <v>419</v>
      </c>
      <c r="M6" s="45"/>
      <c r="P6" s="120" t="n">
        <v>1</v>
      </c>
      <c r="Q6" s="120"/>
      <c r="R6" s="432"/>
      <c r="S6" s="305"/>
      <c r="T6" s="502"/>
      <c r="U6" s="503"/>
      <c r="V6" s="504"/>
      <c r="W6" s="504"/>
      <c r="X6" s="504"/>
      <c r="Y6" s="504"/>
      <c r="Z6" s="504"/>
      <c r="AA6" s="504"/>
      <c r="AB6" s="504"/>
      <c r="AC6" s="504"/>
      <c r="AD6" s="504"/>
      <c r="AE6" s="504"/>
      <c r="AF6" s="504"/>
      <c r="AG6" s="504"/>
      <c r="AH6" s="504"/>
      <c r="AI6" s="504"/>
      <c r="AJ6" s="504"/>
      <c r="AK6" s="504"/>
      <c r="AL6" s="504"/>
      <c r="AM6" s="505"/>
      <c r="AO6" s="117"/>
      <c r="AP6" s="117" t="str">
        <f aca="false">IF(T6="","",T6)</f>
        <v/>
      </c>
      <c r="AQ6" s="117"/>
      <c r="AR6" s="117"/>
    </row>
    <row r="7" customFormat="false" ht="21" hidden="true" customHeight="true" outlineLevel="0" collapsed="false">
      <c r="A7" s="415"/>
      <c r="B7" s="415"/>
      <c r="C7" s="415"/>
      <c r="D7" s="415"/>
      <c r="E7" s="416"/>
      <c r="F7" s="416"/>
      <c r="G7" s="416"/>
      <c r="H7" s="416"/>
      <c r="I7" s="431"/>
      <c r="J7" s="431" t="e">
        <f aca="false">I6&amp;".1"</f>
        <v>#N/A</v>
      </c>
      <c r="K7" s="415"/>
      <c r="L7" s="417" t="s">
        <v>422</v>
      </c>
      <c r="M7" s="45"/>
      <c r="N7" s="45"/>
      <c r="P7" s="120"/>
      <c r="Q7" s="120" t="n">
        <v>1</v>
      </c>
      <c r="R7" s="435"/>
      <c r="S7" s="419" t="e">
        <f aca="false">$J7</f>
        <v>#N/A</v>
      </c>
      <c r="T7" s="436" t="s">
        <v>423</v>
      </c>
      <c r="U7" s="421"/>
      <c r="V7" s="434"/>
      <c r="W7" s="434"/>
      <c r="X7" s="434"/>
      <c r="Y7" s="434"/>
      <c r="Z7" s="434"/>
      <c r="AA7" s="434"/>
      <c r="AB7" s="434"/>
      <c r="AC7" s="434"/>
      <c r="AD7" s="434"/>
      <c r="AE7" s="434"/>
      <c r="AF7" s="434"/>
      <c r="AG7" s="434"/>
      <c r="AH7" s="434"/>
      <c r="AI7" s="434"/>
      <c r="AJ7" s="434"/>
      <c r="AK7" s="434"/>
      <c r="AL7" s="434"/>
      <c r="AM7" s="424" t="s">
        <v>424</v>
      </c>
      <c r="AO7" s="117"/>
      <c r="AP7" s="117" t="str">
        <f aca="false">IF(T7="","",T7)</f>
        <v>Группа потребителей</v>
      </c>
      <c r="AQ7" s="117"/>
      <c r="AR7" s="117"/>
    </row>
    <row r="8" customFormat="false" ht="21" hidden="true" customHeight="true" outlineLevel="0" collapsed="false">
      <c r="A8" s="415"/>
      <c r="B8" s="415"/>
      <c r="C8" s="415"/>
      <c r="D8" s="415"/>
      <c r="E8" s="416"/>
      <c r="F8" s="416"/>
      <c r="G8" s="416"/>
      <c r="H8" s="416"/>
      <c r="I8" s="431"/>
      <c r="J8" s="431"/>
      <c r="K8" s="431" t="e">
        <f aca="false">J7&amp;".1"</f>
        <v>#N/A</v>
      </c>
      <c r="L8" s="417" t="s">
        <v>425</v>
      </c>
      <c r="M8" s="45"/>
      <c r="N8" s="45"/>
      <c r="O8" s="45"/>
      <c r="P8" s="120"/>
      <c r="Q8" s="120"/>
      <c r="R8" s="435" t="n">
        <v>1</v>
      </c>
      <c r="S8" s="419" t="e">
        <f aca="false">$K8</f>
        <v>#N/A</v>
      </c>
      <c r="T8" s="437"/>
      <c r="U8" s="421"/>
      <c r="V8" s="438"/>
      <c r="W8" s="439"/>
      <c r="X8" s="438"/>
      <c r="Y8" s="440"/>
      <c r="Z8" s="441"/>
      <c r="AA8" s="203" t="s">
        <v>63</v>
      </c>
      <c r="AB8" s="441"/>
      <c r="AC8" s="203" t="s">
        <v>63</v>
      </c>
      <c r="AD8" s="438"/>
      <c r="AE8" s="439"/>
      <c r="AF8" s="438"/>
      <c r="AG8" s="440"/>
      <c r="AH8" s="441"/>
      <c r="AI8" s="203" t="s">
        <v>63</v>
      </c>
      <c r="AJ8" s="441"/>
      <c r="AK8" s="203" t="s">
        <v>63</v>
      </c>
      <c r="AL8" s="439"/>
      <c r="AM8" s="442" t="s">
        <v>426</v>
      </c>
      <c r="AN8" s="47" t="e">
        <f aca="false">strcheckdate(V9:AL9)</f>
        <v>#NAME?</v>
      </c>
      <c r="AO8" s="117"/>
      <c r="AP8" s="117" t="str">
        <f aca="false">IF(T8="","",T8)</f>
        <v/>
      </c>
      <c r="AQ8" s="117"/>
      <c r="AR8" s="117"/>
    </row>
    <row r="9" customFormat="false" ht="14.25" hidden="true" customHeight="true" outlineLevel="0" collapsed="false">
      <c r="A9" s="415"/>
      <c r="B9" s="415"/>
      <c r="C9" s="415"/>
      <c r="D9" s="415"/>
      <c r="E9" s="416"/>
      <c r="F9" s="416"/>
      <c r="G9" s="416"/>
      <c r="H9" s="416"/>
      <c r="I9" s="431"/>
      <c r="J9" s="431"/>
      <c r="K9" s="431"/>
      <c r="L9" s="417"/>
      <c r="M9" s="45"/>
      <c r="N9" s="45"/>
      <c r="O9" s="45"/>
      <c r="P9" s="120"/>
      <c r="Q9" s="120"/>
      <c r="R9" s="435"/>
      <c r="S9" s="396"/>
      <c r="T9" s="421"/>
      <c r="U9" s="421"/>
      <c r="V9" s="439"/>
      <c r="W9" s="439"/>
      <c r="X9" s="439"/>
      <c r="Y9" s="443" t="str">
        <f aca="false">Z8&amp;"-"&amp;AB8</f>
        <v>-</v>
      </c>
      <c r="Z9" s="441"/>
      <c r="AA9" s="203"/>
      <c r="AB9" s="441"/>
      <c r="AC9" s="203"/>
      <c r="AD9" s="439"/>
      <c r="AE9" s="439"/>
      <c r="AF9" s="439"/>
      <c r="AG9" s="443" t="str">
        <f aca="false">AH8&amp;"-"&amp;AJ8</f>
        <v>-</v>
      </c>
      <c r="AH9" s="441"/>
      <c r="AI9" s="203"/>
      <c r="AJ9" s="441"/>
      <c r="AK9" s="203"/>
      <c r="AL9" s="439"/>
      <c r="AM9" s="442"/>
      <c r="AO9" s="117"/>
      <c r="AP9" s="117" t="str">
        <f aca="false">IF(T9="","",T9)</f>
        <v/>
      </c>
      <c r="AQ9" s="117"/>
      <c r="AR9" s="117"/>
    </row>
    <row r="10" customFormat="false" ht="15" hidden="true" customHeight="true" outlineLevel="0" collapsed="false">
      <c r="A10" s="415"/>
      <c r="B10" s="415"/>
      <c r="C10" s="415"/>
      <c r="D10" s="415"/>
      <c r="E10" s="416"/>
      <c r="F10" s="416"/>
      <c r="G10" s="416"/>
      <c r="H10" s="416"/>
      <c r="I10" s="431"/>
      <c r="J10" s="431"/>
      <c r="K10" s="415"/>
      <c r="L10" s="417"/>
      <c r="M10" s="45"/>
      <c r="N10" s="45"/>
      <c r="P10" s="120"/>
      <c r="Q10" s="120"/>
      <c r="R10" s="432"/>
      <c r="S10" s="444"/>
      <c r="T10" s="447" t="s">
        <v>427</v>
      </c>
      <c r="U10" s="193"/>
      <c r="V10" s="193"/>
      <c r="W10" s="193"/>
      <c r="X10" s="193"/>
      <c r="Y10" s="193"/>
      <c r="Z10" s="193"/>
      <c r="AA10" s="193"/>
      <c r="AB10" s="193"/>
      <c r="AC10" s="193"/>
      <c r="AD10" s="193"/>
      <c r="AE10" s="193"/>
      <c r="AF10" s="193"/>
      <c r="AG10" s="193"/>
      <c r="AH10" s="193"/>
      <c r="AI10" s="193"/>
      <c r="AJ10" s="193"/>
      <c r="AK10" s="193"/>
      <c r="AL10" s="446"/>
      <c r="AM10" s="442"/>
      <c r="AO10" s="117"/>
      <c r="AP10" s="117" t="str">
        <f aca="false">IF(T10="","",T10)</f>
        <v>Добавить вид теплоносителя (параметры теплоносителя)</v>
      </c>
      <c r="AQ10" s="117"/>
      <c r="AR10" s="117"/>
    </row>
    <row r="11" customFormat="false" ht="11.25" hidden="true" customHeight="true" outlineLevel="0" collapsed="false">
      <c r="A11" s="415"/>
      <c r="B11" s="415"/>
      <c r="C11" s="415"/>
      <c r="D11" s="415"/>
      <c r="E11" s="416"/>
      <c r="F11" s="416"/>
      <c r="G11" s="416"/>
      <c r="H11" s="416"/>
      <c r="I11" s="431"/>
      <c r="J11" s="415"/>
      <c r="K11" s="415"/>
      <c r="L11" s="417"/>
      <c r="M11" s="45"/>
      <c r="P11" s="120"/>
      <c r="Q11" s="120"/>
      <c r="R11" s="432"/>
      <c r="S11" s="444"/>
      <c r="T11" s="451" t="s">
        <v>428</v>
      </c>
      <c r="U11" s="193"/>
      <c r="V11" s="193"/>
      <c r="W11" s="193"/>
      <c r="X11" s="193"/>
      <c r="Y11" s="193"/>
      <c r="Z11" s="193"/>
      <c r="AA11" s="193"/>
      <c r="AB11" s="193"/>
      <c r="AC11" s="448"/>
      <c r="AD11" s="193"/>
      <c r="AE11" s="193"/>
      <c r="AF11" s="193"/>
      <c r="AG11" s="193"/>
      <c r="AH11" s="193"/>
      <c r="AI11" s="193"/>
      <c r="AJ11" s="193"/>
      <c r="AK11" s="448"/>
      <c r="AL11" s="193"/>
      <c r="AM11" s="449"/>
      <c r="AO11" s="117"/>
      <c r="AP11" s="117" t="str">
        <f aca="false">IF(T11="","",T11)</f>
        <v>Добавить группу потребителей</v>
      </c>
      <c r="AQ11" s="117"/>
      <c r="AR11" s="117"/>
    </row>
    <row r="12" customFormat="false" ht="14.25" hidden="true" customHeight="true" outlineLevel="0" collapsed="false">
      <c r="A12" s="415"/>
      <c r="B12" s="415"/>
      <c r="C12" s="415"/>
      <c r="D12" s="415"/>
      <c r="E12" s="416"/>
      <c r="F12" s="416"/>
      <c r="G12" s="416"/>
      <c r="H12" s="416"/>
      <c r="I12" s="415"/>
      <c r="J12" s="415"/>
      <c r="K12" s="415"/>
      <c r="L12" s="417"/>
      <c r="M12" s="40"/>
      <c r="N12" s="40"/>
      <c r="O12" s="45"/>
      <c r="P12" s="131"/>
      <c r="Q12" s="450"/>
      <c r="R12" s="418"/>
      <c r="S12" s="506"/>
      <c r="T12" s="507"/>
      <c r="U12" s="508"/>
      <c r="V12" s="508"/>
      <c r="W12" s="508"/>
      <c r="X12" s="508"/>
      <c r="Y12" s="508"/>
      <c r="Z12" s="508"/>
      <c r="AA12" s="508"/>
      <c r="AB12" s="508"/>
      <c r="AC12" s="508"/>
      <c r="AD12" s="508"/>
      <c r="AE12" s="508"/>
      <c r="AF12" s="508"/>
      <c r="AG12" s="508"/>
      <c r="AH12" s="508"/>
      <c r="AI12" s="508"/>
      <c r="AJ12" s="508"/>
      <c r="AK12" s="508"/>
      <c r="AL12" s="508"/>
      <c r="AM12" s="509"/>
      <c r="AO12" s="117"/>
      <c r="AP12" s="117" t="str">
        <f aca="false">IF(T12="","",T12)</f>
        <v/>
      </c>
      <c r="AQ12" s="117"/>
      <c r="AR12" s="117"/>
    </row>
    <row r="13" s="47" customFormat="true" ht="14.25" hidden="true" customHeight="true" outlineLevel="0" collapsed="false">
      <c r="A13" s="121"/>
      <c r="B13" s="121"/>
      <c r="C13" s="121"/>
      <c r="D13" s="121"/>
      <c r="E13" s="416"/>
      <c r="F13" s="416"/>
      <c r="G13" s="416"/>
      <c r="H13" s="121"/>
      <c r="I13" s="121"/>
      <c r="J13" s="121"/>
      <c r="K13" s="121"/>
      <c r="L13" s="191"/>
      <c r="M13" s="46"/>
      <c r="N13" s="46"/>
      <c r="P13" s="155"/>
      <c r="Q13" s="452"/>
      <c r="R13" s="155"/>
      <c r="S13" s="453"/>
      <c r="T13" s="454" t="s">
        <v>430</v>
      </c>
      <c r="U13" s="455"/>
      <c r="V13" s="455"/>
      <c r="W13" s="455"/>
      <c r="X13" s="455"/>
      <c r="Y13" s="455"/>
      <c r="Z13" s="455"/>
      <c r="AA13" s="455"/>
      <c r="AB13" s="455"/>
      <c r="AC13" s="455"/>
      <c r="AD13" s="455"/>
      <c r="AE13" s="455"/>
      <c r="AF13" s="455"/>
      <c r="AG13" s="455"/>
      <c r="AH13" s="455"/>
      <c r="AI13" s="455"/>
      <c r="AJ13" s="455"/>
      <c r="AK13" s="455"/>
      <c r="AL13" s="455"/>
      <c r="AM13" s="455"/>
      <c r="AO13" s="117"/>
      <c r="AP13" s="117" t="str">
        <f aca="false">IF(T13="","",T13)</f>
        <v>Добавить источник для дифференциации</v>
      </c>
      <c r="AQ13" s="117"/>
      <c r="AR13" s="117"/>
    </row>
    <row r="14" s="47" customFormat="true" ht="14.25" hidden="true" customHeight="true" outlineLevel="0" collapsed="false">
      <c r="A14" s="121"/>
      <c r="B14" s="121"/>
      <c r="C14" s="121"/>
      <c r="D14" s="121"/>
      <c r="E14" s="416"/>
      <c r="F14" s="416"/>
      <c r="G14" s="121"/>
      <c r="H14" s="121"/>
      <c r="I14" s="121"/>
      <c r="J14" s="121"/>
      <c r="K14" s="121"/>
      <c r="L14" s="191"/>
      <c r="M14" s="456"/>
      <c r="N14" s="456"/>
      <c r="P14" s="155"/>
      <c r="Q14" s="452"/>
      <c r="R14" s="155"/>
      <c r="S14" s="457"/>
      <c r="T14" s="458" t="s">
        <v>261</v>
      </c>
      <c r="U14" s="459"/>
      <c r="V14" s="459"/>
      <c r="W14" s="459"/>
      <c r="X14" s="459"/>
      <c r="Y14" s="459"/>
      <c r="Z14" s="459"/>
      <c r="AA14" s="459"/>
      <c r="AB14" s="459"/>
      <c r="AC14" s="459"/>
      <c r="AD14" s="459"/>
      <c r="AE14" s="459"/>
      <c r="AF14" s="459"/>
      <c r="AG14" s="459"/>
      <c r="AH14" s="459"/>
      <c r="AI14" s="459"/>
      <c r="AJ14" s="459"/>
      <c r="AK14" s="459"/>
      <c r="AL14" s="459"/>
      <c r="AM14" s="459"/>
      <c r="AO14" s="117"/>
      <c r="AP14" s="117" t="str">
        <f aca="false">IF(T14="","",T14)</f>
        <v>Добавить централизованную систему для дифференциации</v>
      </c>
      <c r="AQ14" s="117"/>
      <c r="AR14" s="117"/>
    </row>
    <row r="15" s="47" customFormat="true" ht="14.25" hidden="true" customHeight="true" outlineLevel="0" collapsed="false">
      <c r="A15" s="121"/>
      <c r="B15" s="121"/>
      <c r="C15" s="121"/>
      <c r="D15" s="121"/>
      <c r="E15" s="416"/>
      <c r="F15" s="121"/>
      <c r="G15" s="121"/>
      <c r="H15" s="121"/>
      <c r="I15" s="121"/>
      <c r="J15" s="121"/>
      <c r="K15" s="121"/>
      <c r="L15" s="191"/>
      <c r="M15" s="456"/>
      <c r="N15" s="456"/>
      <c r="P15" s="155"/>
      <c r="Q15" s="452"/>
      <c r="R15" s="155"/>
      <c r="S15" s="457"/>
      <c r="T15" s="460" t="s">
        <v>268</v>
      </c>
      <c r="U15" s="459"/>
      <c r="V15" s="459"/>
      <c r="W15" s="459"/>
      <c r="X15" s="459"/>
      <c r="Y15" s="459"/>
      <c r="Z15" s="459"/>
      <c r="AA15" s="459"/>
      <c r="AB15" s="459"/>
      <c r="AC15" s="459"/>
      <c r="AD15" s="459"/>
      <c r="AE15" s="459"/>
      <c r="AF15" s="459"/>
      <c r="AG15" s="459"/>
      <c r="AH15" s="459"/>
      <c r="AI15" s="459"/>
      <c r="AJ15" s="459"/>
      <c r="AK15" s="459"/>
      <c r="AL15" s="459"/>
      <c r="AM15" s="459"/>
      <c r="AO15" s="117"/>
      <c r="AP15" s="117" t="str">
        <f aca="false">IF(T15="","",T15)</f>
        <v>Добавить территорию для дифференциации</v>
      </c>
      <c r="AQ15" s="117"/>
      <c r="AR15" s="117"/>
    </row>
    <row r="16" customFormat="false" ht="14.25" hidden="true" customHeight="true" outlineLevel="0" collapsed="false"/>
    <row r="17" customFormat="false" ht="14.25" hidden="true" customHeight="true" outlineLevel="0" collapsed="false">
      <c r="AD17" s="461"/>
      <c r="AE17" s="461"/>
      <c r="AF17" s="461"/>
      <c r="AG17" s="462"/>
      <c r="AH17" s="463"/>
      <c r="AI17" s="464" t="s">
        <v>63</v>
      </c>
      <c r="AJ17" s="463"/>
      <c r="AK17" s="464" t="s">
        <v>63</v>
      </c>
    </row>
    <row r="18" customFormat="false" ht="14.25" hidden="true" customHeight="true" outlineLevel="0" collapsed="false">
      <c r="AD18" s="461"/>
      <c r="AE18" s="461"/>
      <c r="AF18" s="461"/>
      <c r="AG18" s="443" t="str">
        <f aca="false">AH17&amp;"-"&amp;AJ17</f>
        <v>-</v>
      </c>
      <c r="AH18" s="463"/>
      <c r="AI18" s="463"/>
      <c r="AJ18" s="463"/>
      <c r="AK18" s="463"/>
    </row>
    <row r="19" customFormat="false" ht="14.25" hidden="true" customHeight="true" outlineLevel="0" collapsed="false"/>
    <row r="20" s="45" customFormat="true" ht="22.5" hidden="true" customHeight="true" outlineLevel="0" collapsed="false">
      <c r="L20" s="44"/>
      <c r="M20" s="51"/>
      <c r="N20" s="51"/>
      <c r="O20" s="465" t="s">
        <v>431</v>
      </c>
      <c r="P20" s="51"/>
      <c r="Q20" s="466"/>
      <c r="R20" s="466"/>
      <c r="S20" s="40"/>
      <c r="Z20" s="465"/>
      <c r="AB20" s="465"/>
      <c r="AH20" s="465"/>
      <c r="AJ20" s="465"/>
      <c r="AN20" s="47"/>
      <c r="AO20" s="47"/>
      <c r="AP20" s="47"/>
      <c r="AQ20" s="47"/>
      <c r="AR20" s="47"/>
    </row>
    <row r="21" s="45" customFormat="true" ht="14.25" hidden="true" customHeight="true" outlineLevel="0" collapsed="false">
      <c r="L21" s="44"/>
      <c r="M21" s="51"/>
      <c r="N21" s="51"/>
      <c r="O21" s="51"/>
      <c r="P21" s="51"/>
      <c r="Q21" s="466"/>
      <c r="R21" s="466"/>
      <c r="S21" s="40"/>
      <c r="AN21" s="47"/>
      <c r="AO21" s="47"/>
      <c r="AP21" s="47"/>
      <c r="AQ21" s="47"/>
      <c r="AR21" s="47"/>
    </row>
    <row r="22" s="45" customFormat="true" ht="14.25" hidden="true" customHeight="true" outlineLevel="0" collapsed="false">
      <c r="L22" s="44"/>
      <c r="M22" s="51"/>
      <c r="N22" s="51"/>
      <c r="O22" s="417" t="s">
        <v>432</v>
      </c>
      <c r="P22" s="51"/>
      <c r="Q22" s="466"/>
      <c r="R22" s="466"/>
      <c r="S22" s="40"/>
      <c r="T22" s="45" t="s">
        <v>433</v>
      </c>
      <c r="AA22" s="139" t="s">
        <v>434</v>
      </c>
      <c r="AC22" s="139" t="s">
        <v>435</v>
      </c>
      <c r="AD22" s="45" t="s">
        <v>433</v>
      </c>
      <c r="AI22" s="139" t="s">
        <v>436</v>
      </c>
      <c r="AK22" s="139" t="s">
        <v>435</v>
      </c>
      <c r="AN22" s="47"/>
      <c r="AO22" s="47"/>
      <c r="AP22" s="47"/>
      <c r="AQ22" s="47"/>
      <c r="AR22" s="47"/>
    </row>
    <row r="23" customFormat="false" ht="14.25" hidden="true" customHeight="true" outlineLevel="0" collapsed="false">
      <c r="O23" s="417"/>
    </row>
    <row r="24" customFormat="false" ht="14.25" hidden="true" customHeight="true" outlineLevel="0" collapsed="false">
      <c r="O24" s="417"/>
    </row>
    <row r="25" customFormat="false" ht="14.25" hidden="false" customHeight="true" outlineLevel="0" collapsed="false">
      <c r="Q25" s="467"/>
      <c r="R25" s="467"/>
      <c r="S25" s="468"/>
      <c r="T25" s="79"/>
      <c r="U25" s="79"/>
    </row>
    <row r="26" customFormat="false" ht="51" hidden="false" customHeight="true" outlineLevel="0" collapsed="false">
      <c r="Q26" s="467"/>
      <c r="R26" s="467"/>
      <c r="S26" s="212"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
      <c r="U26" s="212"/>
      <c r="V26" s="212"/>
      <c r="W26" s="212"/>
      <c r="X26" s="212"/>
      <c r="Y26" s="212"/>
      <c r="Z26" s="212"/>
      <c r="AA26" s="212"/>
      <c r="AB26" s="212"/>
      <c r="AC26" s="212"/>
      <c r="AD26" s="212"/>
      <c r="AE26" s="212"/>
      <c r="AF26" s="212"/>
      <c r="AG26" s="212"/>
      <c r="AH26" s="212"/>
      <c r="AI26" s="212"/>
      <c r="AJ26" s="212"/>
      <c r="AK26" s="214"/>
    </row>
    <row r="27" customFormat="false" ht="14.25" hidden="false" customHeight="true" outlineLevel="0" collapsed="false">
      <c r="Q27" s="467"/>
      <c r="R27" s="467"/>
      <c r="S27" s="265" t="str">
        <f aca="false">IF(org=0,"Не определено",org)</f>
        <v>ООО "Газпром теплоэнерго Ярославль"</v>
      </c>
      <c r="T27" s="265"/>
      <c r="U27" s="265"/>
      <c r="V27" s="265"/>
      <c r="W27" s="265"/>
      <c r="X27" s="265"/>
      <c r="Y27" s="265"/>
      <c r="Z27" s="265"/>
      <c r="AA27" s="265"/>
      <c r="AB27" s="265"/>
      <c r="AC27" s="265"/>
      <c r="AD27" s="265"/>
      <c r="AE27" s="265"/>
      <c r="AF27" s="265"/>
      <c r="AG27" s="265"/>
      <c r="AH27" s="265"/>
      <c r="AI27" s="265"/>
      <c r="AJ27" s="265"/>
      <c r="AK27" s="214"/>
    </row>
    <row r="28" customFormat="false" ht="14.25" hidden="false" customHeight="true" outlineLevel="0" collapsed="false">
      <c r="Q28" s="467"/>
      <c r="R28" s="467"/>
      <c r="S28" s="468"/>
      <c r="T28" s="79"/>
      <c r="U28" s="79"/>
      <c r="V28" s="469"/>
      <c r="W28" s="469"/>
      <c r="X28" s="469"/>
      <c r="Y28" s="469"/>
      <c r="Z28" s="469"/>
      <c r="AA28" s="469"/>
      <c r="AB28" s="469"/>
      <c r="AC28" s="469"/>
      <c r="AD28" s="469"/>
      <c r="AE28" s="469"/>
      <c r="AF28" s="469"/>
      <c r="AG28" s="469"/>
      <c r="AH28" s="469"/>
      <c r="AI28" s="469"/>
      <c r="AJ28" s="469"/>
      <c r="AK28" s="469"/>
    </row>
    <row r="29" s="174" customFormat="true" ht="25.5" hidden="false" customHeight="true" outlineLevel="0" collapsed="false">
      <c r="A29" s="139"/>
      <c r="B29" s="139"/>
      <c r="C29" s="139"/>
      <c r="D29" s="139"/>
      <c r="E29" s="139"/>
      <c r="F29" s="139"/>
      <c r="G29" s="139"/>
      <c r="H29" s="139"/>
      <c r="I29" s="139"/>
      <c r="J29" s="139"/>
      <c r="K29" s="139"/>
      <c r="L29" s="417"/>
      <c r="M29" s="139"/>
      <c r="N29" s="139"/>
      <c r="O29" s="139"/>
      <c r="S29" s="470" t="s">
        <v>37</v>
      </c>
      <c r="T29" s="470"/>
      <c r="U29" s="471"/>
      <c r="V29" s="472" t="str">
        <f aca="false">IF(TITLE_NAME_OR_PR_CHANGE="",IF(TITLE_NAME_OR_PR="","",TITLE_NAME_OR_PR),TITLE_NAME_OR_PR_CHANGE)</f>
        <v>Министерство тарифного регулирования Ярославской области</v>
      </c>
      <c r="W29" s="472"/>
      <c r="X29" s="472"/>
      <c r="Y29" s="472"/>
      <c r="Z29" s="472"/>
      <c r="AA29" s="472"/>
      <c r="AB29" s="472"/>
      <c r="AC29" s="42"/>
      <c r="AD29" s="472" t="str">
        <f aca="false">IF(TITLE_NAME_OR_PR_CHANGE="",IF(TITLE_NAME_OR_PR="","",TITLE_NAME_OR_PR),TITLE_NAME_OR_PR_CHANGE)</f>
        <v>Министерство тарифного регулирования Ярославской области</v>
      </c>
      <c r="AE29" s="472"/>
      <c r="AF29" s="472"/>
      <c r="AG29" s="472"/>
      <c r="AH29" s="472"/>
      <c r="AI29" s="472"/>
      <c r="AJ29" s="472"/>
      <c r="AK29" s="42"/>
      <c r="AL29" s="42"/>
      <c r="AM29" s="473"/>
      <c r="AN29" s="117"/>
      <c r="AO29" s="117"/>
      <c r="AP29" s="117"/>
      <c r="AQ29" s="117"/>
      <c r="AR29" s="117"/>
    </row>
    <row r="30" s="174" customFormat="true" ht="18.75" hidden="false" customHeight="true" outlineLevel="0" collapsed="false">
      <c r="A30" s="139"/>
      <c r="B30" s="139"/>
      <c r="C30" s="139"/>
      <c r="D30" s="139"/>
      <c r="E30" s="139"/>
      <c r="F30" s="139"/>
      <c r="G30" s="139"/>
      <c r="H30" s="139"/>
      <c r="I30" s="139"/>
      <c r="J30" s="139"/>
      <c r="K30" s="139"/>
      <c r="L30" s="417"/>
      <c r="M30" s="139"/>
      <c r="N30" s="139"/>
      <c r="O30" s="139"/>
      <c r="S30" s="470" t="s">
        <v>437</v>
      </c>
      <c r="T30" s="470"/>
      <c r="U30" s="471"/>
      <c r="V30" s="474" t="str">
        <f aca="false">IF(TITLE_DATE_PR_CHANGE="",IF(TITLE_DATE_PR="","",TITLE_DATE_PR),TITLE_DATE_PR_CHANGE)</f>
        <v>45279.46460648148</v>
      </c>
      <c r="W30" s="474"/>
      <c r="X30" s="474"/>
      <c r="Y30" s="474"/>
      <c r="Z30" s="474"/>
      <c r="AA30" s="474"/>
      <c r="AB30" s="474"/>
      <c r="AC30" s="42"/>
      <c r="AD30" s="474" t="str">
        <f aca="false">IF(TITLE_DATE_PR_CHANGE="",IF(TITLE_DATE_PR="","",TITLE_DATE_PR),TITLE_DATE_PR_CHANGE)</f>
        <v>45279.46460648148</v>
      </c>
      <c r="AE30" s="474"/>
      <c r="AF30" s="474"/>
      <c r="AG30" s="474"/>
      <c r="AH30" s="474"/>
      <c r="AI30" s="474"/>
      <c r="AJ30" s="474"/>
      <c r="AK30" s="42"/>
      <c r="AL30" s="42"/>
      <c r="AM30" s="473"/>
      <c r="AN30" s="117"/>
      <c r="AO30" s="117"/>
      <c r="AP30" s="117"/>
      <c r="AQ30" s="117"/>
      <c r="AR30" s="117"/>
    </row>
    <row r="31" s="174" customFormat="true" ht="18.75" hidden="false" customHeight="true" outlineLevel="0" collapsed="false">
      <c r="A31" s="139"/>
      <c r="B31" s="139"/>
      <c r="C31" s="139"/>
      <c r="D31" s="139"/>
      <c r="E31" s="139"/>
      <c r="F31" s="139"/>
      <c r="G31" s="139"/>
      <c r="H31" s="139"/>
      <c r="I31" s="139"/>
      <c r="J31" s="139"/>
      <c r="K31" s="139"/>
      <c r="L31" s="417"/>
      <c r="M31" s="139"/>
      <c r="N31" s="139"/>
      <c r="O31" s="139"/>
      <c r="S31" s="470" t="s">
        <v>438</v>
      </c>
      <c r="T31" s="470"/>
      <c r="U31" s="471"/>
      <c r="V31" s="472" t="str">
        <f aca="false">IF(TITLE_NUMBER_PR_CHANGE="",IF(TITLE_NUMBER_PR="","",TITLE_NUMBER_PR),TITLE_NUMBER_PR_CHANGE)</f>
        <v>403-гвс, 404-гвс, 406-гвс</v>
      </c>
      <c r="W31" s="472"/>
      <c r="X31" s="472"/>
      <c r="Y31" s="472"/>
      <c r="Z31" s="472"/>
      <c r="AA31" s="472"/>
      <c r="AB31" s="472"/>
      <c r="AC31" s="42"/>
      <c r="AD31" s="472" t="str">
        <f aca="false">IF(TITLE_NUMBER_PR_CHANGE="",IF(TITLE_NUMBER_PR="","",TITLE_NUMBER_PR),TITLE_NUMBER_PR_CHANGE)</f>
        <v>403-гвс, 404-гвс, 406-гвс</v>
      </c>
      <c r="AE31" s="472"/>
      <c r="AF31" s="472"/>
      <c r="AG31" s="472"/>
      <c r="AH31" s="472"/>
      <c r="AI31" s="472"/>
      <c r="AJ31" s="472"/>
      <c r="AK31" s="42"/>
      <c r="AL31" s="42"/>
      <c r="AM31" s="473"/>
      <c r="AN31" s="117"/>
      <c r="AO31" s="117"/>
      <c r="AP31" s="117"/>
      <c r="AQ31" s="117"/>
      <c r="AR31" s="117"/>
    </row>
    <row r="32" s="174" customFormat="true" ht="18.75" hidden="false" customHeight="true" outlineLevel="0" collapsed="false">
      <c r="A32" s="139"/>
      <c r="B32" s="139"/>
      <c r="C32" s="139"/>
      <c r="D32" s="139"/>
      <c r="E32" s="139"/>
      <c r="F32" s="139"/>
      <c r="G32" s="139"/>
      <c r="H32" s="139"/>
      <c r="I32" s="139"/>
      <c r="J32" s="139"/>
      <c r="K32" s="139"/>
      <c r="L32" s="417"/>
      <c r="M32" s="139"/>
      <c r="N32" s="139"/>
      <c r="O32" s="139"/>
      <c r="S32" s="470" t="s">
        <v>39</v>
      </c>
      <c r="T32" s="470"/>
      <c r="U32" s="471"/>
      <c r="V32" s="472" t="str">
        <f aca="false">IF(TITLE_IST_PUB_CHANGE="",IF(TITLE_IST_PUB="","",TITLE_IST_PUB),TITLE_IST_PUB_CHANGE)</f>
        <v>официальный интернет- портал правовой информации www.pravo.gov.ru</v>
      </c>
      <c r="W32" s="472"/>
      <c r="X32" s="472"/>
      <c r="Y32" s="472"/>
      <c r="Z32" s="472"/>
      <c r="AA32" s="472"/>
      <c r="AB32" s="472"/>
      <c r="AC32" s="42"/>
      <c r="AD32" s="472" t="str">
        <f aca="false">IF(TITLE_IST_PUB_CHANGE="",IF(TITLE_IST_PUB="","",TITLE_IST_PUB),TITLE_IST_PUB_CHANGE)</f>
        <v>официальный интернет- портал правовой информации www.pravo.gov.ru</v>
      </c>
      <c r="AE32" s="472"/>
      <c r="AF32" s="472"/>
      <c r="AG32" s="472"/>
      <c r="AH32" s="472"/>
      <c r="AI32" s="472"/>
      <c r="AJ32" s="472"/>
      <c r="AK32" s="42"/>
      <c r="AL32" s="42"/>
      <c r="AM32" s="473"/>
      <c r="AN32" s="117"/>
      <c r="AO32" s="117"/>
      <c r="AP32" s="117"/>
      <c r="AQ32" s="117"/>
      <c r="AR32" s="117"/>
    </row>
    <row r="33" customFormat="false" ht="14.25" hidden="true" customHeight="true" outlineLevel="0" collapsed="false">
      <c r="Q33" s="467"/>
      <c r="R33" s="467"/>
      <c r="S33" s="468"/>
      <c r="T33" s="79"/>
      <c r="U33" s="79"/>
      <c r="V33" s="469"/>
      <c r="W33" s="469"/>
      <c r="X33" s="469"/>
      <c r="Y33" s="469"/>
      <c r="Z33" s="469"/>
      <c r="AA33" s="469"/>
      <c r="AB33" s="469"/>
      <c r="AC33" s="469"/>
      <c r="AD33" s="469"/>
      <c r="AE33" s="469"/>
      <c r="AF33" s="469"/>
      <c r="AG33" s="469"/>
      <c r="AH33" s="469"/>
      <c r="AI33" s="469"/>
      <c r="AJ33" s="469"/>
      <c r="AK33" s="469"/>
    </row>
    <row r="34" s="174" customFormat="true" ht="18.75" hidden="true" customHeight="true" outlineLevel="0" collapsed="false">
      <c r="A34" s="139"/>
      <c r="B34" s="139"/>
      <c r="C34" s="139"/>
      <c r="D34" s="139"/>
      <c r="E34" s="139"/>
      <c r="F34" s="139"/>
      <c r="G34" s="139"/>
      <c r="H34" s="139"/>
      <c r="I34" s="139"/>
      <c r="J34" s="139"/>
      <c r="K34" s="139"/>
      <c r="L34" s="417"/>
      <c r="M34" s="139"/>
      <c r="N34" s="139"/>
      <c r="O34" s="139"/>
      <c r="S34" s="470" t="s">
        <v>439</v>
      </c>
      <c r="T34" s="470"/>
      <c r="U34" s="471"/>
      <c r="V34" s="474" t="str">
        <f aca="false">IF(TITLE_DATE_PR_CHANGE="",IF(TITLE_DATE_PR="","",TITLE_DATE_PR),TITLE_DATE_PR_CHANGE)</f>
        <v>45279.46460648148</v>
      </c>
      <c r="W34" s="474"/>
      <c r="X34" s="474"/>
      <c r="Y34" s="474"/>
      <c r="Z34" s="474"/>
      <c r="AA34" s="474"/>
      <c r="AB34" s="474"/>
      <c r="AC34" s="42"/>
      <c r="AD34" s="474" t="str">
        <f aca="false">IF(TITLE_DATE_PR_CHANGE="",IF(TITLE_DATE_PR="","",TITLE_DATE_PR),TITLE_DATE_PR_CHANGE)</f>
        <v>45279.46460648148</v>
      </c>
      <c r="AE34" s="474"/>
      <c r="AF34" s="474"/>
      <c r="AG34" s="474"/>
      <c r="AH34" s="474"/>
      <c r="AI34" s="474"/>
      <c r="AJ34" s="474"/>
      <c r="AK34" s="42"/>
      <c r="AL34" s="42"/>
      <c r="AM34" s="473"/>
      <c r="AN34" s="117"/>
      <c r="AO34" s="117"/>
      <c r="AP34" s="117"/>
      <c r="AQ34" s="117"/>
      <c r="AR34" s="117"/>
    </row>
    <row r="35" s="174" customFormat="true" ht="25.5" hidden="true" customHeight="true" outlineLevel="0" collapsed="false">
      <c r="A35" s="139"/>
      <c r="B35" s="139"/>
      <c r="C35" s="139"/>
      <c r="D35" s="139"/>
      <c r="E35" s="139"/>
      <c r="F35" s="139"/>
      <c r="G35" s="139"/>
      <c r="H35" s="139"/>
      <c r="I35" s="139"/>
      <c r="J35" s="139"/>
      <c r="K35" s="139"/>
      <c r="L35" s="417"/>
      <c r="M35" s="139"/>
      <c r="N35" s="139"/>
      <c r="O35" s="139"/>
      <c r="S35" s="470" t="s">
        <v>440</v>
      </c>
      <c r="T35" s="470"/>
      <c r="U35" s="471"/>
      <c r="V35" s="472" t="str">
        <f aca="false">IF(TITLE_NUMBER_PR_CHANGE="",IF(TITLE_NUMBER_PR="","",TITLE_NUMBER_PR),TITLE_NUMBER_PR_CHANGE)</f>
        <v>403-гвс, 404-гвс, 406-гвс</v>
      </c>
      <c r="W35" s="472"/>
      <c r="X35" s="472"/>
      <c r="Y35" s="472"/>
      <c r="Z35" s="472"/>
      <c r="AA35" s="472"/>
      <c r="AB35" s="472"/>
      <c r="AC35" s="42"/>
      <c r="AD35" s="472" t="str">
        <f aca="false">IF(TITLE_NUMBER_PR_CHANGE="",IF(TITLE_NUMBER_PR="","",TITLE_NUMBER_PR),TITLE_NUMBER_PR_CHANGE)</f>
        <v>403-гвс, 404-гвс, 406-гвс</v>
      </c>
      <c r="AE35" s="472"/>
      <c r="AF35" s="472"/>
      <c r="AG35" s="472"/>
      <c r="AH35" s="472"/>
      <c r="AI35" s="472"/>
      <c r="AJ35" s="472"/>
      <c r="AK35" s="42"/>
      <c r="AL35" s="42"/>
      <c r="AM35" s="473"/>
      <c r="AN35" s="117"/>
      <c r="AO35" s="117"/>
      <c r="AP35" s="117"/>
      <c r="AQ35" s="117"/>
      <c r="AR35" s="117"/>
    </row>
    <row r="36" s="174" customFormat="true" ht="12.8" hidden="false" customHeight="false" outlineLevel="0" collapsed="false">
      <c r="A36" s="139"/>
      <c r="B36" s="139"/>
      <c r="C36" s="139"/>
      <c r="D36" s="139"/>
      <c r="E36" s="139"/>
      <c r="F36" s="139"/>
      <c r="G36" s="139"/>
      <c r="H36" s="139"/>
      <c r="I36" s="139"/>
      <c r="J36" s="139"/>
      <c r="K36" s="139"/>
      <c r="L36" s="417"/>
      <c r="M36" s="139"/>
      <c r="N36" s="139"/>
      <c r="O36" s="139"/>
      <c r="S36" s="42"/>
      <c r="T36" s="42"/>
      <c r="U36" s="127"/>
      <c r="V36" s="42"/>
      <c r="W36" s="42"/>
      <c r="X36" s="42"/>
      <c r="Y36" s="42"/>
      <c r="Z36" s="42"/>
      <c r="AA36" s="42"/>
      <c r="AB36" s="42"/>
      <c r="AC36" s="47" t="s">
        <v>441</v>
      </c>
      <c r="AD36" s="42"/>
      <c r="AE36" s="42"/>
      <c r="AF36" s="42"/>
      <c r="AG36" s="42"/>
      <c r="AH36" s="42"/>
      <c r="AI36" s="42"/>
      <c r="AJ36" s="42"/>
      <c r="AK36" s="47" t="s">
        <v>441</v>
      </c>
      <c r="AN36" s="117"/>
      <c r="AO36" s="117"/>
      <c r="AP36" s="117"/>
      <c r="AQ36" s="117"/>
      <c r="AR36" s="117"/>
    </row>
    <row r="37" customFormat="false" ht="14.25" hidden="false" customHeight="true" outlineLevel="0" collapsed="false">
      <c r="Q37" s="467"/>
      <c r="R37" s="467"/>
      <c r="S37" s="468"/>
      <c r="T37" s="79"/>
      <c r="U37" s="475"/>
      <c r="V37" s="476"/>
      <c r="W37" s="476"/>
      <c r="X37" s="476"/>
      <c r="Y37" s="476"/>
      <c r="Z37" s="476"/>
      <c r="AA37" s="476"/>
      <c r="AB37" s="476"/>
      <c r="AC37" s="476"/>
      <c r="AD37" s="476"/>
      <c r="AE37" s="476"/>
      <c r="AF37" s="476"/>
      <c r="AG37" s="476"/>
      <c r="AH37" s="476"/>
      <c r="AI37" s="476"/>
      <c r="AJ37" s="476"/>
      <c r="AK37" s="476"/>
    </row>
    <row r="38" customFormat="false" ht="14.25" hidden="false" customHeight="true" outlineLevel="0" collapsed="false">
      <c r="Q38" s="467"/>
      <c r="R38" s="467"/>
      <c r="S38" s="133" t="s">
        <v>316</v>
      </c>
      <c r="T38" s="133"/>
      <c r="U38" s="133"/>
      <c r="V38" s="133"/>
      <c r="W38" s="133"/>
      <c r="X38" s="133"/>
      <c r="Y38" s="133"/>
      <c r="Z38" s="133"/>
      <c r="AA38" s="133"/>
      <c r="AB38" s="133"/>
      <c r="AC38" s="133"/>
      <c r="AD38" s="133"/>
      <c r="AE38" s="133"/>
      <c r="AF38" s="133"/>
      <c r="AG38" s="133"/>
      <c r="AH38" s="133"/>
      <c r="AI38" s="133"/>
      <c r="AJ38" s="133"/>
      <c r="AK38" s="133"/>
      <c r="AL38" s="133"/>
      <c r="AM38" s="133" t="s">
        <v>317</v>
      </c>
    </row>
    <row r="39" customFormat="false" ht="14.25" hidden="false" customHeight="true" outlineLevel="0" collapsed="false">
      <c r="Q39" s="467"/>
      <c r="R39" s="467"/>
      <c r="S39" s="477" t="s">
        <v>84</v>
      </c>
      <c r="T39" s="394" t="s">
        <v>442</v>
      </c>
      <c r="U39" s="478"/>
      <c r="V39" s="300" t="s">
        <v>443</v>
      </c>
      <c r="W39" s="300"/>
      <c r="X39" s="300"/>
      <c r="Y39" s="300"/>
      <c r="Z39" s="300"/>
      <c r="AA39" s="300"/>
      <c r="AB39" s="300"/>
      <c r="AC39" s="394" t="s">
        <v>444</v>
      </c>
      <c r="AD39" s="300" t="s">
        <v>443</v>
      </c>
      <c r="AE39" s="300"/>
      <c r="AF39" s="300"/>
      <c r="AG39" s="300"/>
      <c r="AH39" s="300"/>
      <c r="AI39" s="300"/>
      <c r="AJ39" s="300"/>
      <c r="AK39" s="394" t="s">
        <v>445</v>
      </c>
      <c r="AL39" s="479" t="s">
        <v>446</v>
      </c>
      <c r="AM39" s="133"/>
    </row>
    <row r="40" customFormat="false" ht="33.75" hidden="false" customHeight="true" outlineLevel="0" collapsed="false">
      <c r="Q40" s="467"/>
      <c r="R40" s="467"/>
      <c r="S40" s="477"/>
      <c r="T40" s="394"/>
      <c r="U40" s="480"/>
      <c r="V40" s="133" t="s">
        <v>447</v>
      </c>
      <c r="W40" s="431"/>
      <c r="X40" s="133" t="s">
        <v>449</v>
      </c>
      <c r="Y40" s="133"/>
      <c r="Z40" s="133" t="s">
        <v>450</v>
      </c>
      <c r="AA40" s="133"/>
      <c r="AB40" s="133"/>
      <c r="AC40" s="394"/>
      <c r="AD40" s="133" t="s">
        <v>463</v>
      </c>
      <c r="AE40" s="431"/>
      <c r="AF40" s="133" t="s">
        <v>449</v>
      </c>
      <c r="AG40" s="133"/>
      <c r="AH40" s="133" t="s">
        <v>450</v>
      </c>
      <c r="AI40" s="133"/>
      <c r="AJ40" s="133"/>
      <c r="AK40" s="394"/>
      <c r="AL40" s="479"/>
      <c r="AM40" s="133"/>
    </row>
    <row r="41" customFormat="false" ht="33.75" hidden="false" customHeight="true" outlineLevel="0" collapsed="false">
      <c r="A41" s="139"/>
      <c r="B41" s="139" t="s">
        <v>142</v>
      </c>
      <c r="C41" s="139" t="s">
        <v>143</v>
      </c>
      <c r="D41" s="139" t="s">
        <v>144</v>
      </c>
      <c r="E41" s="417" t="s">
        <v>451</v>
      </c>
      <c r="F41" s="417" t="s">
        <v>452</v>
      </c>
      <c r="G41" s="417" t="s">
        <v>453</v>
      </c>
      <c r="H41" s="417" t="s">
        <v>454</v>
      </c>
      <c r="I41" s="417" t="s">
        <v>455</v>
      </c>
      <c r="J41" s="417" t="s">
        <v>456</v>
      </c>
      <c r="K41" s="417" t="s">
        <v>457</v>
      </c>
      <c r="L41" s="417" t="s">
        <v>432</v>
      </c>
      <c r="Q41" s="467"/>
      <c r="R41" s="467"/>
      <c r="S41" s="477"/>
      <c r="T41" s="394"/>
      <c r="U41" s="481"/>
      <c r="V41" s="133"/>
      <c r="W41" s="431"/>
      <c r="X41" s="184" t="s">
        <v>458</v>
      </c>
      <c r="Y41" s="184" t="s">
        <v>459</v>
      </c>
      <c r="Z41" s="184" t="s">
        <v>460</v>
      </c>
      <c r="AA41" s="184" t="s">
        <v>461</v>
      </c>
      <c r="AB41" s="184"/>
      <c r="AC41" s="394"/>
      <c r="AD41" s="133"/>
      <c r="AE41" s="431"/>
      <c r="AF41" s="184" t="s">
        <v>458</v>
      </c>
      <c r="AG41" s="184" t="s">
        <v>459</v>
      </c>
      <c r="AH41" s="184" t="s">
        <v>460</v>
      </c>
      <c r="AI41" s="184" t="s">
        <v>461</v>
      </c>
      <c r="AJ41" s="184"/>
      <c r="AK41" s="394"/>
      <c r="AL41" s="479"/>
      <c r="AM41" s="133"/>
    </row>
    <row r="42" s="119" customFormat="true" ht="11.25" hidden="true" customHeight="true" outlineLevel="0" collapsed="false">
      <c r="A42" s="139"/>
      <c r="B42" s="139"/>
      <c r="C42" s="139"/>
      <c r="D42" s="139"/>
      <c r="E42" s="139"/>
      <c r="F42" s="139"/>
      <c r="G42" s="139"/>
      <c r="H42" s="139"/>
      <c r="I42" s="139"/>
      <c r="J42" s="139"/>
      <c r="K42" s="139"/>
      <c r="L42" s="417"/>
      <c r="M42" s="51"/>
      <c r="N42" s="51"/>
      <c r="O42" s="51"/>
      <c r="P42" s="482"/>
      <c r="Q42" s="483"/>
      <c r="R42" s="484" t="n">
        <v>1</v>
      </c>
      <c r="S42" s="485" t="s">
        <v>117</v>
      </c>
      <c r="T42" s="486" t="s">
        <v>99</v>
      </c>
      <c r="U42" s="487" t="str">
        <f aca="true">OFFSET(U42,0,-1)</f>
        <v>2</v>
      </c>
      <c r="V42" s="488" t="n">
        <f aca="true">OFFSET(V42,0,-1)+1</f>
        <v>3</v>
      </c>
      <c r="W42" s="488"/>
      <c r="X42" s="488" t="n">
        <f aca="true">OFFSET(X42,0,-1)+1</f>
        <v>1</v>
      </c>
      <c r="Y42" s="488" t="n">
        <f aca="true">OFFSET(Y42,0,-1)+1</f>
        <v>2</v>
      </c>
      <c r="Z42" s="488" t="n">
        <f aca="true">OFFSET(Z42,0,-1)+1</f>
        <v>3</v>
      </c>
      <c r="AA42" s="488" t="n">
        <f aca="true">OFFSET(AA42,0,-1)+1</f>
        <v>4</v>
      </c>
      <c r="AB42" s="488"/>
      <c r="AC42" s="488" t="n">
        <f aca="true">OFFSET(AC42,0,-2)+1</f>
        <v>5</v>
      </c>
      <c r="AD42" s="488" t="n">
        <f aca="true">OFFSET(AD42,0,-1)+1</f>
        <v>6</v>
      </c>
      <c r="AE42" s="488"/>
      <c r="AF42" s="488" t="n">
        <f aca="true">OFFSET(AF42,0,-1)+1</f>
        <v>1</v>
      </c>
      <c r="AG42" s="488" t="n">
        <f aca="true">OFFSET(AG42,0,-1)+1</f>
        <v>2</v>
      </c>
      <c r="AH42" s="488" t="n">
        <f aca="true">OFFSET(AH42,0,-1)+1</f>
        <v>3</v>
      </c>
      <c r="AI42" s="488" t="n">
        <f aca="true">OFFSET(AI42,0,-1)+1</f>
        <v>4</v>
      </c>
      <c r="AJ42" s="488"/>
      <c r="AK42" s="488" t="n">
        <f aca="true">OFFSET(AK42,0,-2)+1</f>
        <v>5</v>
      </c>
      <c r="AL42" s="487" t="n">
        <f aca="true">OFFSET(AL42,0,-1)</f>
        <v>5</v>
      </c>
      <c r="AM42" s="488" t="n">
        <f aca="true">OFFSET(AM42,0,-1)+1</f>
        <v>6</v>
      </c>
      <c r="AN42" s="47"/>
      <c r="AO42" s="47"/>
      <c r="AP42" s="47"/>
      <c r="AQ42" s="47"/>
      <c r="AR42" s="47"/>
    </row>
    <row r="43" customFormat="false" ht="21" hidden="false" customHeight="true" outlineLevel="0" collapsed="false">
      <c r="A43" s="415" t="s">
        <v>193</v>
      </c>
      <c r="B43" s="415"/>
      <c r="C43" s="415"/>
      <c r="D43" s="415"/>
      <c r="E43" s="416" t="n">
        <v>1</v>
      </c>
      <c r="F43" s="415"/>
      <c r="G43" s="415"/>
      <c r="H43" s="415"/>
      <c r="I43" s="415"/>
      <c r="J43" s="415"/>
      <c r="K43" s="415"/>
      <c r="L43" s="417"/>
      <c r="M43" s="40"/>
      <c r="N43" s="40"/>
      <c r="O43" s="40"/>
      <c r="Q43" s="131"/>
      <c r="R43" s="418"/>
      <c r="S43" s="419" t="n">
        <f aca="false">INDEX(PT_DIFFERENTIATION_NUM_NTAR,MATCH(A43,PT_DIFFERENTIATION_NTAR_ID,0))</f>
        <v>0</v>
      </c>
      <c r="T43" s="420" t="s">
        <v>130</v>
      </c>
      <c r="U43" s="421"/>
      <c r="V43" s="422"/>
      <c r="W43" s="422"/>
      <c r="X43" s="422"/>
      <c r="Y43" s="422"/>
      <c r="Z43" s="422"/>
      <c r="AA43" s="422"/>
      <c r="AB43" s="422"/>
      <c r="AC43" s="422"/>
      <c r="AD43" s="423" t="str">
        <f aca="false">INDEX(PT_DIFFERENTIATION_NTAR,MATCH(A43,PT_DIFFERENTIATION_NTAR_ID,0))</f>
        <v/>
      </c>
      <c r="AE43" s="423"/>
      <c r="AF43" s="423"/>
      <c r="AG43" s="423"/>
      <c r="AH43" s="423"/>
      <c r="AI43" s="423"/>
      <c r="AJ43" s="423"/>
      <c r="AK43" s="423"/>
      <c r="AL43" s="423"/>
      <c r="AM43" s="424"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7"/>
      <c r="AP43" s="117" t="str">
        <f aca="false">IF(T43="","",T43)</f>
        <v>Наименование тарифа</v>
      </c>
      <c r="AQ43" s="117"/>
      <c r="AR43" s="117"/>
    </row>
    <row r="44" customFormat="false" ht="21" hidden="false" customHeight="true" outlineLevel="0" collapsed="false">
      <c r="A44" s="415" t="s">
        <v>193</v>
      </c>
      <c r="B44" s="415" t="s">
        <v>194</v>
      </c>
      <c r="C44" s="415"/>
      <c r="D44" s="415"/>
      <c r="E44" s="416"/>
      <c r="F44" s="416" t="n">
        <v>1</v>
      </c>
      <c r="G44" s="415"/>
      <c r="H44" s="415"/>
      <c r="I44" s="415"/>
      <c r="J44" s="415"/>
      <c r="K44" s="415"/>
      <c r="L44" s="417"/>
      <c r="M44" s="40"/>
      <c r="N44" s="40"/>
      <c r="O44" s="40"/>
      <c r="P44" s="43"/>
      <c r="Q44" s="425"/>
      <c r="R44" s="426"/>
      <c r="S44" s="419" t="str">
        <f aca="false">INDEX(PT_DIFFERENTIATION_NUM_TER,MATCH(B44,PT_DIFFERENTIATION_TER_ID,0))</f>
        <v>.</v>
      </c>
      <c r="T44" s="427" t="s">
        <v>413</v>
      </c>
      <c r="U44" s="421"/>
      <c r="V44" s="422"/>
      <c r="W44" s="422"/>
      <c r="X44" s="422"/>
      <c r="Y44" s="422"/>
      <c r="Z44" s="422"/>
      <c r="AA44" s="422"/>
      <c r="AB44" s="422"/>
      <c r="AC44" s="422"/>
      <c r="AD44" s="423" t="str">
        <f aca="false">INDEX(PT_DIFFERENTIATION_TER,MATCH(B44,PT_DIFFERENTIATION_TER_ID,0))</f>
        <v/>
      </c>
      <c r="AE44" s="423"/>
      <c r="AF44" s="423"/>
      <c r="AG44" s="423"/>
      <c r="AH44" s="423"/>
      <c r="AI44" s="423"/>
      <c r="AJ44" s="423"/>
      <c r="AK44" s="423"/>
      <c r="AL44" s="423"/>
      <c r="AM44" s="424" t="s">
        <v>414</v>
      </c>
      <c r="AO44" s="117"/>
      <c r="AP44" s="117" t="str">
        <f aca="false">IF(T44="","",T44)</f>
        <v>Территория действия тарифа</v>
      </c>
      <c r="AQ44" s="117"/>
      <c r="AR44" s="117"/>
    </row>
    <row r="45" customFormat="false" ht="23.25" hidden="false" customHeight="true" outlineLevel="0" collapsed="false">
      <c r="A45" s="415" t="s">
        <v>193</v>
      </c>
      <c r="B45" s="415" t="s">
        <v>194</v>
      </c>
      <c r="C45" s="415" t="s">
        <v>195</v>
      </c>
      <c r="D45" s="415"/>
      <c r="E45" s="416"/>
      <c r="F45" s="416"/>
      <c r="G45" s="416" t="n">
        <v>1</v>
      </c>
      <c r="H45" s="415"/>
      <c r="I45" s="415"/>
      <c r="J45" s="415"/>
      <c r="K45" s="415"/>
      <c r="L45" s="417"/>
      <c r="M45" s="40"/>
      <c r="N45" s="40"/>
      <c r="O45" s="40"/>
      <c r="P45" s="428"/>
      <c r="Q45" s="425"/>
      <c r="R45" s="426"/>
      <c r="S45" s="419" t="str">
        <f aca="false">INDEX(PT_DIFFERENTIATION_NUM_CS,MATCH(C45,PT_DIFFERENTIATION_CS_ID,0))</f>
        <v>..</v>
      </c>
      <c r="T45" s="429" t="s">
        <v>415</v>
      </c>
      <c r="U45" s="421"/>
      <c r="V45" s="422"/>
      <c r="W45" s="422"/>
      <c r="X45" s="422"/>
      <c r="Y45" s="422"/>
      <c r="Z45" s="422"/>
      <c r="AA45" s="422"/>
      <c r="AB45" s="422"/>
      <c r="AC45" s="422"/>
      <c r="AD45" s="423" t="str">
        <f aca="false">INDEX(PT_DIFFERENTIATION_CS,MATCH(C45,PT_DIFFERENTIATION_CS_ID,0))</f>
        <v/>
      </c>
      <c r="AE45" s="423"/>
      <c r="AF45" s="423"/>
      <c r="AG45" s="423"/>
      <c r="AH45" s="423"/>
      <c r="AI45" s="423"/>
      <c r="AJ45" s="423"/>
      <c r="AK45" s="423"/>
      <c r="AL45" s="423"/>
      <c r="AM45" s="424" t="s">
        <v>416</v>
      </c>
      <c r="AO45" s="117"/>
      <c r="AP45" s="117" t="str">
        <f aca="false">IF(T45="","",T45)</f>
        <v>Наименование системы теплоснабжения</v>
      </c>
      <c r="AQ45" s="117"/>
      <c r="AR45" s="117"/>
    </row>
    <row r="46" customFormat="false" ht="21" hidden="false" customHeight="true" outlineLevel="0" collapsed="false">
      <c r="A46" s="415" t="s">
        <v>193</v>
      </c>
      <c r="B46" s="415" t="s">
        <v>194</v>
      </c>
      <c r="C46" s="415" t="s">
        <v>195</v>
      </c>
      <c r="D46" s="415" t="s">
        <v>196</v>
      </c>
      <c r="E46" s="416"/>
      <c r="F46" s="416"/>
      <c r="G46" s="416"/>
      <c r="H46" s="416" t="n">
        <v>1</v>
      </c>
      <c r="I46" s="415"/>
      <c r="J46" s="415"/>
      <c r="K46" s="415"/>
      <c r="L46" s="417"/>
      <c r="M46" s="40"/>
      <c r="N46" s="40"/>
      <c r="O46" s="40"/>
      <c r="P46" s="428"/>
      <c r="Q46" s="425"/>
      <c r="R46" s="426"/>
      <c r="S46" s="419" t="str">
        <f aca="false">INDEX(PT_DIFFERENTIATION_NUM_IST_TE,MATCH(D46,PT_DIFFERENTIATION_IST_TE_ID,0))</f>
        <v>...</v>
      </c>
      <c r="T46" s="430" t="s">
        <v>417</v>
      </c>
      <c r="U46" s="421"/>
      <c r="V46" s="422"/>
      <c r="W46" s="422"/>
      <c r="X46" s="422"/>
      <c r="Y46" s="422"/>
      <c r="Z46" s="422"/>
      <c r="AA46" s="422"/>
      <c r="AB46" s="422"/>
      <c r="AC46" s="422"/>
      <c r="AD46" s="423" t="str">
        <f aca="false">INDEX(PT_DIFFERENTIATION_IST_TE,MATCH(D46,PT_DIFFERENTIATION_IST_TE_ID,0))</f>
        <v/>
      </c>
      <c r="AE46" s="423"/>
      <c r="AF46" s="423"/>
      <c r="AG46" s="423"/>
      <c r="AH46" s="423"/>
      <c r="AI46" s="423"/>
      <c r="AJ46" s="423"/>
      <c r="AK46" s="423"/>
      <c r="AL46" s="423"/>
      <c r="AM46" s="424" t="s">
        <v>418</v>
      </c>
      <c r="AO46" s="117"/>
      <c r="AP46" s="117" t="str">
        <f aca="false">IF(T46="","",T46)</f>
        <v>Источник тепловой энергии</v>
      </c>
      <c r="AQ46" s="117"/>
      <c r="AR46" s="117"/>
    </row>
    <row r="47" s="47" customFormat="true" ht="12.8" hidden="false" customHeight="false" outlineLevel="0" collapsed="false">
      <c r="A47" s="121" t="s">
        <v>193</v>
      </c>
      <c r="B47" s="121" t="s">
        <v>194</v>
      </c>
      <c r="C47" s="121" t="s">
        <v>195</v>
      </c>
      <c r="D47" s="121" t="s">
        <v>196</v>
      </c>
      <c r="E47" s="416"/>
      <c r="F47" s="416"/>
      <c r="G47" s="416"/>
      <c r="H47" s="416"/>
      <c r="I47" s="431" t="str">
        <f aca="false">S46&amp;".1"</f>
        <v>....1</v>
      </c>
      <c r="J47" s="121"/>
      <c r="K47" s="121"/>
      <c r="L47" s="191" t="s">
        <v>419</v>
      </c>
      <c r="M47" s="510"/>
      <c r="N47" s="510"/>
      <c r="O47" s="510"/>
      <c r="P47" s="120" t="n">
        <v>1</v>
      </c>
      <c r="Q47" s="120"/>
      <c r="R47" s="432"/>
      <c r="S47" s="305"/>
      <c r="T47" s="502"/>
      <c r="U47" s="503"/>
      <c r="V47" s="504"/>
      <c r="W47" s="504"/>
      <c r="X47" s="504"/>
      <c r="Y47" s="504"/>
      <c r="Z47" s="504"/>
      <c r="AA47" s="504"/>
      <c r="AB47" s="504"/>
      <c r="AC47" s="504"/>
      <c r="AD47" s="504"/>
      <c r="AE47" s="504"/>
      <c r="AF47" s="504"/>
      <c r="AG47" s="504"/>
      <c r="AH47" s="504"/>
      <c r="AI47" s="504"/>
      <c r="AJ47" s="504"/>
      <c r="AK47" s="504"/>
      <c r="AL47" s="504"/>
      <c r="AM47" s="505"/>
      <c r="AO47" s="117"/>
      <c r="AP47" s="117" t="str">
        <f aca="false">IF(T47="","",T47)</f>
        <v/>
      </c>
      <c r="AQ47" s="117"/>
      <c r="AR47" s="117"/>
    </row>
    <row r="48" customFormat="false" ht="21" hidden="false" customHeight="true" outlineLevel="0" collapsed="false">
      <c r="A48" s="415" t="s">
        <v>193</v>
      </c>
      <c r="B48" s="415" t="s">
        <v>194</v>
      </c>
      <c r="C48" s="415" t="s">
        <v>195</v>
      </c>
      <c r="D48" s="415" t="s">
        <v>196</v>
      </c>
      <c r="E48" s="416"/>
      <c r="F48" s="416"/>
      <c r="G48" s="416"/>
      <c r="H48" s="416"/>
      <c r="I48" s="431"/>
      <c r="J48" s="431" t="str">
        <f aca="false">S46&amp;".1"</f>
        <v>....1</v>
      </c>
      <c r="K48" s="415"/>
      <c r="L48" s="417" t="s">
        <v>422</v>
      </c>
      <c r="P48" s="120"/>
      <c r="Q48" s="120" t="n">
        <v>1</v>
      </c>
      <c r="R48" s="435"/>
      <c r="S48" s="419" t="str">
        <f aca="false">$J48</f>
        <v>....1</v>
      </c>
      <c r="T48" s="436" t="s">
        <v>423</v>
      </c>
      <c r="U48" s="421"/>
      <c r="V48" s="434"/>
      <c r="W48" s="434"/>
      <c r="X48" s="434"/>
      <c r="Y48" s="434"/>
      <c r="Z48" s="434"/>
      <c r="AA48" s="434"/>
      <c r="AB48" s="434"/>
      <c r="AC48" s="434"/>
      <c r="AD48" s="434"/>
      <c r="AE48" s="434"/>
      <c r="AF48" s="434"/>
      <c r="AG48" s="434"/>
      <c r="AH48" s="434"/>
      <c r="AI48" s="434"/>
      <c r="AJ48" s="434"/>
      <c r="AK48" s="434"/>
      <c r="AL48" s="434"/>
      <c r="AM48" s="424" t="s">
        <v>424</v>
      </c>
      <c r="AO48" s="117"/>
      <c r="AP48" s="117" t="str">
        <f aca="false">IF(T48="","",T48)</f>
        <v>Группа потребителей</v>
      </c>
      <c r="AQ48" s="117"/>
      <c r="AR48" s="117"/>
    </row>
    <row r="49" customFormat="false" ht="21" hidden="false" customHeight="true" outlineLevel="0" collapsed="false">
      <c r="A49" s="415" t="s">
        <v>193</v>
      </c>
      <c r="B49" s="415" t="s">
        <v>194</v>
      </c>
      <c r="C49" s="415" t="s">
        <v>195</v>
      </c>
      <c r="D49" s="415" t="s">
        <v>196</v>
      </c>
      <c r="E49" s="416"/>
      <c r="F49" s="416"/>
      <c r="G49" s="416"/>
      <c r="H49" s="416"/>
      <c r="I49" s="431"/>
      <c r="J49" s="431"/>
      <c r="K49" s="431" t="str">
        <f aca="false">J48&amp;".1"</f>
        <v>....1.1</v>
      </c>
      <c r="L49" s="417" t="s">
        <v>425</v>
      </c>
      <c r="P49" s="120"/>
      <c r="Q49" s="120"/>
      <c r="R49" s="435" t="n">
        <v>1</v>
      </c>
      <c r="S49" s="419" t="str">
        <f aca="false">$K49</f>
        <v>....1.1</v>
      </c>
      <c r="T49" s="437"/>
      <c r="U49" s="421"/>
      <c r="V49" s="438"/>
      <c r="W49" s="439"/>
      <c r="X49" s="438"/>
      <c r="Y49" s="440"/>
      <c r="Z49" s="441"/>
      <c r="AA49" s="203" t="s">
        <v>63</v>
      </c>
      <c r="AB49" s="441"/>
      <c r="AC49" s="203" t="s">
        <v>63</v>
      </c>
      <c r="AD49" s="438"/>
      <c r="AE49" s="439"/>
      <c r="AF49" s="438"/>
      <c r="AG49" s="440"/>
      <c r="AH49" s="441"/>
      <c r="AI49" s="203" t="s">
        <v>63</v>
      </c>
      <c r="AJ49" s="441"/>
      <c r="AK49" s="203" t="s">
        <v>63</v>
      </c>
      <c r="AL49" s="489"/>
      <c r="AM49" s="442" t="s">
        <v>464</v>
      </c>
      <c r="AN49" s="47" t="e">
        <f aca="false">strcheckdate(V50:AL50)</f>
        <v>#NAME?</v>
      </c>
      <c r="AO49" s="117"/>
      <c r="AP49" s="117" t="str">
        <f aca="false">IF(T49="","",T49)</f>
        <v/>
      </c>
      <c r="AQ49" s="117"/>
      <c r="AR49" s="117"/>
    </row>
    <row r="50" customFormat="false" ht="12.8" hidden="false" customHeight="false" outlineLevel="0" collapsed="false">
      <c r="A50" s="415" t="s">
        <v>193</v>
      </c>
      <c r="B50" s="415" t="s">
        <v>194</v>
      </c>
      <c r="C50" s="415" t="s">
        <v>195</v>
      </c>
      <c r="D50" s="415" t="s">
        <v>196</v>
      </c>
      <c r="E50" s="416"/>
      <c r="F50" s="416"/>
      <c r="G50" s="416"/>
      <c r="H50" s="416"/>
      <c r="I50" s="431"/>
      <c r="J50" s="431"/>
      <c r="K50" s="431"/>
      <c r="L50" s="417"/>
      <c r="P50" s="120"/>
      <c r="Q50" s="120"/>
      <c r="R50" s="435"/>
      <c r="S50" s="396"/>
      <c r="T50" s="421"/>
      <c r="U50" s="421"/>
      <c r="V50" s="439"/>
      <c r="W50" s="439"/>
      <c r="X50" s="439"/>
      <c r="Y50" s="443" t="str">
        <f aca="false">Z49&amp;"-"&amp;AB49</f>
        <v>-</v>
      </c>
      <c r="Z50" s="441"/>
      <c r="AA50" s="203"/>
      <c r="AB50" s="441"/>
      <c r="AC50" s="203"/>
      <c r="AD50" s="439"/>
      <c r="AE50" s="439"/>
      <c r="AF50" s="439"/>
      <c r="AG50" s="443" t="str">
        <f aca="false">AH49&amp;"-"&amp;AJ49</f>
        <v>-</v>
      </c>
      <c r="AH50" s="441"/>
      <c r="AI50" s="203"/>
      <c r="AJ50" s="441"/>
      <c r="AK50" s="203"/>
      <c r="AL50" s="490"/>
      <c r="AM50" s="442"/>
      <c r="AO50" s="117"/>
      <c r="AP50" s="117" t="str">
        <f aca="false">IF(T50="","",T50)</f>
        <v/>
      </c>
      <c r="AQ50" s="117"/>
      <c r="AR50" s="117"/>
    </row>
    <row r="51" customFormat="false" ht="11.25" hidden="false" customHeight="true" outlineLevel="0" collapsed="false">
      <c r="A51" s="415" t="s">
        <v>193</v>
      </c>
      <c r="B51" s="415" t="s">
        <v>194</v>
      </c>
      <c r="C51" s="415" t="s">
        <v>195</v>
      </c>
      <c r="D51" s="415" t="s">
        <v>196</v>
      </c>
      <c r="E51" s="416"/>
      <c r="F51" s="416"/>
      <c r="G51" s="416"/>
      <c r="H51" s="416"/>
      <c r="I51" s="431"/>
      <c r="J51" s="431"/>
      <c r="K51" s="415"/>
      <c r="L51" s="417"/>
      <c r="P51" s="120"/>
      <c r="Q51" s="120"/>
      <c r="R51" s="432"/>
      <c r="S51" s="444"/>
      <c r="T51" s="447" t="s">
        <v>427</v>
      </c>
      <c r="U51" s="193"/>
      <c r="V51" s="193"/>
      <c r="W51" s="193"/>
      <c r="X51" s="193"/>
      <c r="Y51" s="193"/>
      <c r="Z51" s="193"/>
      <c r="AA51" s="193"/>
      <c r="AB51" s="193"/>
      <c r="AC51" s="193"/>
      <c r="AD51" s="193"/>
      <c r="AE51" s="193"/>
      <c r="AF51" s="193"/>
      <c r="AG51" s="193"/>
      <c r="AH51" s="193"/>
      <c r="AI51" s="193"/>
      <c r="AJ51" s="193"/>
      <c r="AK51" s="193"/>
      <c r="AL51" s="446"/>
      <c r="AM51" s="442"/>
      <c r="AO51" s="117"/>
      <c r="AP51" s="117" t="str">
        <f aca="false">IF(T51="","",T51)</f>
        <v>Добавить вид теплоносителя (параметры теплоносителя)</v>
      </c>
      <c r="AQ51" s="117"/>
      <c r="AR51" s="117"/>
    </row>
    <row r="52" customFormat="false" ht="11.25" hidden="false" customHeight="true" outlineLevel="0" collapsed="false">
      <c r="A52" s="415" t="s">
        <v>193</v>
      </c>
      <c r="B52" s="415" t="s">
        <v>194</v>
      </c>
      <c r="C52" s="415" t="s">
        <v>195</v>
      </c>
      <c r="D52" s="415" t="s">
        <v>196</v>
      </c>
      <c r="E52" s="416"/>
      <c r="F52" s="416"/>
      <c r="G52" s="416"/>
      <c r="H52" s="416"/>
      <c r="I52" s="431"/>
      <c r="J52" s="415"/>
      <c r="K52" s="415"/>
      <c r="L52" s="417"/>
      <c r="P52" s="120"/>
      <c r="Q52" s="120"/>
      <c r="R52" s="432"/>
      <c r="S52" s="444"/>
      <c r="T52" s="451" t="s">
        <v>428</v>
      </c>
      <c r="U52" s="193"/>
      <c r="V52" s="193"/>
      <c r="W52" s="193"/>
      <c r="X52" s="193"/>
      <c r="Y52" s="193"/>
      <c r="Z52" s="193"/>
      <c r="AA52" s="193"/>
      <c r="AB52" s="193"/>
      <c r="AC52" s="448"/>
      <c r="AD52" s="193"/>
      <c r="AE52" s="193"/>
      <c r="AF52" s="193"/>
      <c r="AG52" s="193"/>
      <c r="AH52" s="193"/>
      <c r="AI52" s="193"/>
      <c r="AJ52" s="193"/>
      <c r="AK52" s="448"/>
      <c r="AL52" s="193"/>
      <c r="AM52" s="449"/>
      <c r="AO52" s="117"/>
      <c r="AP52" s="117" t="str">
        <f aca="false">IF(T52="","",T52)</f>
        <v>Добавить группу потребителей</v>
      </c>
      <c r="AQ52" s="117"/>
      <c r="AR52" s="117"/>
    </row>
    <row r="53" customFormat="false" ht="12.8" hidden="false" customHeight="false" outlineLevel="0" collapsed="false">
      <c r="A53" s="415" t="s">
        <v>193</v>
      </c>
      <c r="B53" s="415" t="s">
        <v>194</v>
      </c>
      <c r="C53" s="415" t="s">
        <v>195</v>
      </c>
      <c r="D53" s="415" t="s">
        <v>196</v>
      </c>
      <c r="E53" s="416"/>
      <c r="F53" s="416"/>
      <c r="G53" s="416"/>
      <c r="H53" s="416"/>
      <c r="I53" s="415"/>
      <c r="J53" s="415"/>
      <c r="K53" s="415"/>
      <c r="L53" s="417"/>
      <c r="M53" s="40"/>
      <c r="N53" s="40"/>
      <c r="O53" s="45"/>
      <c r="P53" s="131"/>
      <c r="Q53" s="450"/>
      <c r="R53" s="418"/>
      <c r="S53" s="506"/>
      <c r="T53" s="507"/>
      <c r="U53" s="508"/>
      <c r="V53" s="508"/>
      <c r="W53" s="508"/>
      <c r="X53" s="508"/>
      <c r="Y53" s="508"/>
      <c r="Z53" s="508"/>
      <c r="AA53" s="508"/>
      <c r="AB53" s="508"/>
      <c r="AC53" s="508"/>
      <c r="AD53" s="508"/>
      <c r="AE53" s="508"/>
      <c r="AF53" s="508"/>
      <c r="AG53" s="508"/>
      <c r="AH53" s="508"/>
      <c r="AI53" s="508"/>
      <c r="AJ53" s="508"/>
      <c r="AK53" s="508"/>
      <c r="AL53" s="508"/>
      <c r="AM53" s="509"/>
      <c r="AO53" s="117"/>
      <c r="AP53" s="117" t="str">
        <f aca="false">IF(T53="","",T53)</f>
        <v/>
      </c>
      <c r="AQ53" s="117"/>
      <c r="AR53" s="117"/>
    </row>
    <row r="54" s="47" customFormat="true" ht="12.8" hidden="false" customHeight="false" outlineLevel="0" collapsed="false">
      <c r="A54" s="121" t="s">
        <v>193</v>
      </c>
      <c r="B54" s="121" t="s">
        <v>194</v>
      </c>
      <c r="C54" s="121" t="s">
        <v>195</v>
      </c>
      <c r="D54" s="121"/>
      <c r="E54" s="416"/>
      <c r="F54" s="416"/>
      <c r="G54" s="416"/>
      <c r="H54" s="121"/>
      <c r="I54" s="121"/>
      <c r="J54" s="121"/>
      <c r="K54" s="121"/>
      <c r="L54" s="191"/>
      <c r="M54" s="46"/>
      <c r="N54" s="46"/>
      <c r="P54" s="155"/>
      <c r="Q54" s="452"/>
      <c r="R54" s="155"/>
      <c r="S54" s="457"/>
      <c r="T54" s="460" t="s">
        <v>430</v>
      </c>
      <c r="U54" s="459"/>
      <c r="V54" s="459"/>
      <c r="W54" s="459"/>
      <c r="X54" s="459"/>
      <c r="Y54" s="459"/>
      <c r="Z54" s="459"/>
      <c r="AA54" s="459"/>
      <c r="AB54" s="459"/>
      <c r="AC54" s="459"/>
      <c r="AD54" s="459"/>
      <c r="AE54" s="459"/>
      <c r="AF54" s="459"/>
      <c r="AG54" s="459"/>
      <c r="AH54" s="459"/>
      <c r="AI54" s="459"/>
      <c r="AJ54" s="459"/>
      <c r="AK54" s="459"/>
      <c r="AL54" s="459"/>
      <c r="AM54" s="459"/>
      <c r="AO54" s="117"/>
      <c r="AP54" s="117" t="str">
        <f aca="false">IF(T54="","",T54)</f>
        <v>Добавить источник для дифференциации</v>
      </c>
      <c r="AQ54" s="117"/>
      <c r="AR54" s="117"/>
    </row>
    <row r="55" s="47" customFormat="true" ht="12.8" hidden="false" customHeight="false" outlineLevel="0" collapsed="false">
      <c r="A55" s="121" t="s">
        <v>193</v>
      </c>
      <c r="B55" s="121" t="s">
        <v>194</v>
      </c>
      <c r="C55" s="121"/>
      <c r="D55" s="121"/>
      <c r="E55" s="416"/>
      <c r="F55" s="416"/>
      <c r="G55" s="121"/>
      <c r="H55" s="121"/>
      <c r="I55" s="121"/>
      <c r="J55" s="121"/>
      <c r="K55" s="121"/>
      <c r="L55" s="191"/>
      <c r="M55" s="456"/>
      <c r="N55" s="456"/>
      <c r="P55" s="155"/>
      <c r="Q55" s="452"/>
      <c r="R55" s="155"/>
      <c r="S55" s="457"/>
      <c r="T55" s="460" t="s">
        <v>261</v>
      </c>
      <c r="U55" s="459"/>
      <c r="V55" s="459"/>
      <c r="W55" s="459"/>
      <c r="X55" s="459"/>
      <c r="Y55" s="459"/>
      <c r="Z55" s="459"/>
      <c r="AA55" s="459"/>
      <c r="AB55" s="459"/>
      <c r="AC55" s="459"/>
      <c r="AD55" s="459"/>
      <c r="AE55" s="459"/>
      <c r="AF55" s="459"/>
      <c r="AG55" s="459"/>
      <c r="AH55" s="459"/>
      <c r="AI55" s="459"/>
      <c r="AJ55" s="459"/>
      <c r="AK55" s="459"/>
      <c r="AL55" s="459"/>
      <c r="AM55" s="459"/>
      <c r="AO55" s="117"/>
      <c r="AP55" s="117" t="str">
        <f aca="false">IF(T55="","",T55)</f>
        <v>Добавить централизованную систему для дифференциации</v>
      </c>
      <c r="AQ55" s="117"/>
      <c r="AR55" s="117"/>
    </row>
    <row r="56" s="47" customFormat="true" ht="12.8" hidden="false" customHeight="false" outlineLevel="0" collapsed="false">
      <c r="A56" s="121" t="s">
        <v>193</v>
      </c>
      <c r="B56" s="121"/>
      <c r="C56" s="121"/>
      <c r="D56" s="121"/>
      <c r="E56" s="416"/>
      <c r="F56" s="121"/>
      <c r="G56" s="121"/>
      <c r="H56" s="121"/>
      <c r="I56" s="121"/>
      <c r="J56" s="121"/>
      <c r="K56" s="121"/>
      <c r="L56" s="191"/>
      <c r="M56" s="456"/>
      <c r="N56" s="456"/>
      <c r="P56" s="155"/>
      <c r="Q56" s="452"/>
      <c r="R56" s="155"/>
      <c r="S56" s="457"/>
      <c r="T56" s="460" t="s">
        <v>268</v>
      </c>
      <c r="U56" s="459"/>
      <c r="V56" s="459"/>
      <c r="W56" s="459"/>
      <c r="X56" s="459"/>
      <c r="Y56" s="459"/>
      <c r="Z56" s="459"/>
      <c r="AA56" s="459"/>
      <c r="AB56" s="459"/>
      <c r="AC56" s="459"/>
      <c r="AD56" s="459"/>
      <c r="AE56" s="459"/>
      <c r="AF56" s="459"/>
      <c r="AG56" s="459"/>
      <c r="AH56" s="459"/>
      <c r="AI56" s="459"/>
      <c r="AJ56" s="459"/>
      <c r="AK56" s="459"/>
      <c r="AL56" s="459"/>
      <c r="AM56" s="459"/>
      <c r="AO56" s="117"/>
      <c r="AP56" s="117" t="str">
        <f aca="false">IF(T56="","",T56)</f>
        <v>Добавить территорию для дифференциации</v>
      </c>
      <c r="AQ56" s="117"/>
      <c r="AR56" s="117"/>
    </row>
    <row r="57" s="47" customFormat="true" ht="5.25" hidden="false" customHeight="true" outlineLevel="0" collapsed="false">
      <c r="A57" s="121"/>
      <c r="B57" s="121"/>
      <c r="C57" s="121"/>
      <c r="D57" s="121"/>
      <c r="E57" s="121"/>
      <c r="F57" s="121"/>
      <c r="G57" s="121"/>
      <c r="H57" s="121"/>
      <c r="I57" s="121"/>
      <c r="J57" s="121"/>
      <c r="K57" s="121"/>
      <c r="L57" s="191"/>
      <c r="M57" s="456"/>
      <c r="N57" s="456"/>
      <c r="P57" s="155"/>
      <c r="Q57" s="452"/>
      <c r="R57" s="155"/>
      <c r="S57" s="457"/>
      <c r="T57" s="460" t="s">
        <v>269</v>
      </c>
      <c r="U57" s="459"/>
      <c r="V57" s="459"/>
      <c r="W57" s="459"/>
      <c r="X57" s="459"/>
      <c r="Y57" s="459"/>
      <c r="Z57" s="459"/>
      <c r="AA57" s="459"/>
      <c r="AB57" s="459"/>
      <c r="AC57" s="459"/>
      <c r="AD57" s="459"/>
      <c r="AE57" s="459"/>
      <c r="AF57" s="459"/>
      <c r="AG57" s="459"/>
      <c r="AH57" s="459"/>
      <c r="AI57" s="459"/>
      <c r="AJ57" s="459"/>
      <c r="AK57" s="459"/>
      <c r="AL57" s="459"/>
      <c r="AM57" s="459"/>
      <c r="AO57" s="117"/>
      <c r="AP57" s="117" t="str">
        <f aca="false">IF(T57="","",T57)</f>
        <v>Добавить наименование тарифа</v>
      </c>
      <c r="AQ57" s="117"/>
      <c r="AR57" s="117"/>
    </row>
    <row r="58" customFormat="false" ht="11.25" hidden="false" customHeight="true" outlineLevel="0" collapsed="false">
      <c r="M58" s="45"/>
      <c r="N58" s="45"/>
      <c r="O58" s="45"/>
      <c r="P58" s="42"/>
      <c r="Q58" s="42"/>
      <c r="R58" s="42"/>
      <c r="S58" s="42"/>
      <c r="AN58" s="42"/>
      <c r="AO58" s="42"/>
      <c r="AP58" s="42"/>
      <c r="AQ58" s="42"/>
      <c r="AR58" s="42"/>
    </row>
    <row r="59" customFormat="false" ht="14.25" hidden="false" customHeight="true" outlineLevel="0" collapsed="false">
      <c r="O59" s="45"/>
      <c r="S59" s="412"/>
      <c r="T59" s="491"/>
      <c r="U59" s="491"/>
      <c r="V59" s="491"/>
      <c r="W59" s="491"/>
      <c r="X59" s="491"/>
      <c r="Y59" s="491"/>
      <c r="Z59" s="491"/>
      <c r="AA59" s="491"/>
      <c r="AB59" s="491"/>
      <c r="AC59" s="491"/>
      <c r="AD59" s="491"/>
      <c r="AE59" s="491"/>
      <c r="AF59" s="491"/>
      <c r="AG59" s="491"/>
      <c r="AH59" s="491"/>
      <c r="AI59" s="491"/>
      <c r="AJ59" s="491"/>
      <c r="AK59" s="491"/>
      <c r="AL59" s="491"/>
      <c r="AM59" s="491"/>
    </row>
    <row r="60" customFormat="false" ht="14.25" hidden="false" customHeight="true" outlineLevel="0" collapsed="false">
      <c r="O60" s="45"/>
      <c r="T60" s="491"/>
      <c r="U60" s="491"/>
      <c r="V60" s="491"/>
      <c r="W60" s="491"/>
      <c r="X60" s="491"/>
      <c r="Y60" s="491"/>
      <c r="Z60" s="491"/>
      <c r="AA60" s="491"/>
      <c r="AB60" s="491"/>
      <c r="AC60" s="491"/>
      <c r="AD60" s="491"/>
      <c r="AE60" s="491"/>
      <c r="AF60" s="491"/>
      <c r="AG60" s="491"/>
      <c r="AH60" s="491"/>
      <c r="AI60" s="491"/>
      <c r="AJ60" s="491"/>
      <c r="AK60" s="491"/>
      <c r="AL60" s="491"/>
      <c r="AM60" s="491"/>
    </row>
    <row r="61" customFormat="false" ht="14.25" hidden="false" customHeight="true" outlineLevel="0" collapsed="false">
      <c r="O61" s="45"/>
      <c r="T61" s="491"/>
      <c r="U61" s="491"/>
      <c r="V61" s="491"/>
      <c r="W61" s="491"/>
      <c r="X61" s="491"/>
      <c r="Y61" s="491"/>
      <c r="Z61" s="491"/>
      <c r="AA61" s="491"/>
      <c r="AB61" s="491"/>
      <c r="AC61" s="491"/>
      <c r="AD61" s="491"/>
      <c r="AE61" s="491"/>
      <c r="AF61" s="491"/>
      <c r="AG61" s="491"/>
      <c r="AH61" s="491"/>
      <c r="AI61" s="491"/>
      <c r="AJ61" s="491"/>
      <c r="AK61" s="491"/>
      <c r="AL61" s="491"/>
      <c r="AM61" s="491"/>
    </row>
    <row r="62" customFormat="false" ht="14.25" hidden="false" customHeight="true" outlineLevel="0" collapsed="false">
      <c r="O62" s="45"/>
    </row>
    <row r="63" customFormat="false" ht="14.25" hidden="false" customHeight="true" outlineLevel="0" collapsed="false">
      <c r="O63" s="45"/>
      <c r="S63" s="412"/>
      <c r="T63" s="241"/>
      <c r="U63" s="241"/>
      <c r="V63" s="241"/>
      <c r="W63" s="241"/>
      <c r="X63" s="241"/>
      <c r="Y63" s="241"/>
      <c r="Z63" s="241"/>
      <c r="AA63" s="241"/>
      <c r="AB63" s="241"/>
      <c r="AC63" s="241"/>
      <c r="AD63" s="241"/>
      <c r="AE63" s="241"/>
      <c r="AF63" s="241"/>
      <c r="AG63" s="241"/>
      <c r="AH63" s="241"/>
      <c r="AI63" s="241"/>
      <c r="AJ63" s="241"/>
      <c r="AK63" s="241"/>
      <c r="AL63" s="241"/>
      <c r="AM63" s="241"/>
    </row>
    <row r="64" customFormat="false" ht="14.25" hidden="false" customHeight="true" outlineLevel="0" collapsed="false">
      <c r="O64" s="45"/>
      <c r="T64" s="491"/>
      <c r="U64" s="491"/>
      <c r="V64" s="491"/>
      <c r="W64" s="491"/>
      <c r="X64" s="491"/>
      <c r="Y64" s="491"/>
      <c r="Z64" s="491"/>
      <c r="AA64" s="491"/>
      <c r="AB64" s="491"/>
      <c r="AC64" s="491"/>
      <c r="AD64" s="491"/>
      <c r="AE64" s="491"/>
      <c r="AF64" s="491"/>
      <c r="AG64" s="491"/>
      <c r="AH64" s="491"/>
      <c r="AI64" s="491"/>
      <c r="AJ64" s="491"/>
      <c r="AK64" s="491"/>
      <c r="AL64" s="491"/>
      <c r="AM64" s="491"/>
    </row>
    <row r="65" customFormat="false" ht="14.25" hidden="false" customHeight="true" outlineLevel="0" collapsed="false">
      <c r="T65" s="491"/>
      <c r="U65" s="491"/>
      <c r="V65" s="491"/>
      <c r="W65" s="491"/>
      <c r="X65" s="491"/>
      <c r="Y65" s="491"/>
      <c r="Z65" s="491"/>
      <c r="AA65" s="491"/>
      <c r="AB65" s="491"/>
      <c r="AC65" s="491"/>
      <c r="AD65" s="491"/>
      <c r="AE65" s="491"/>
      <c r="AF65" s="491"/>
      <c r="AG65" s="491"/>
      <c r="AH65" s="491"/>
      <c r="AI65" s="491"/>
      <c r="AJ65" s="491"/>
      <c r="AK65" s="491"/>
      <c r="AL65" s="491"/>
      <c r="AM65" s="491"/>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V71"/>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5"/>
    <col collapsed="false" customWidth="true" hidden="true" outlineLevel="0" max="5" min="5" style="42" width="10"/>
    <col collapsed="false" customWidth="true" hidden="true" outlineLevel="0" max="6" min="6" style="42" width="8.71"/>
    <col collapsed="false" customWidth="true" hidden="true" outlineLevel="0" max="7" min="7" style="42" width="7.57"/>
    <col collapsed="false" customWidth="true" hidden="true" outlineLevel="0" max="8" min="8" style="42" width="11.42"/>
    <col collapsed="false" customWidth="true" hidden="true" outlineLevel="0" max="9" min="9" style="42" width="12"/>
    <col collapsed="false" customWidth="true" hidden="true" outlineLevel="0" max="10" min="10" style="42" width="9.85"/>
    <col collapsed="false" customWidth="true" hidden="true" outlineLevel="0" max="12" min="11" style="42" width="11.42"/>
    <col collapsed="false" customWidth="true" hidden="true" outlineLevel="0" max="13" min="13" style="43" width="19.14"/>
    <col collapsed="false" customWidth="true" hidden="true" outlineLevel="0" max="15" min="14" style="50" width="12.28"/>
    <col collapsed="false" customWidth="true" hidden="true" outlineLevel="0" max="16" min="16" style="50" width="23.42"/>
    <col collapsed="false" customWidth="true" hidden="true" outlineLevel="0" max="17" min="17" style="50" width="3.71"/>
    <col collapsed="false" customWidth="true" hidden="false" outlineLevel="0" max="20" min="18" style="414" width="3.71"/>
    <col collapsed="false" customWidth="true" hidden="false" outlineLevel="0" max="21" min="21" style="75" width="12.71"/>
    <col collapsed="false" customWidth="true" hidden="false" outlineLevel="0" max="22" min="22" style="42" width="32"/>
    <col collapsed="false" customWidth="true" hidden="false" outlineLevel="0" max="23" min="23" style="42" width="0.14"/>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7" min="33" style="42" width="21.71"/>
    <col collapsed="false" customWidth="true" hidden="false" outlineLevel="0" max="38" min="38" style="42" width="11.71"/>
    <col collapsed="false" customWidth="true" hidden="false" outlineLevel="0" max="39" min="39" style="42" width="3.71"/>
    <col collapsed="false" customWidth="true" hidden="false" outlineLevel="0" max="40" min="40" style="42" width="11.71"/>
    <col collapsed="false" customWidth="true" hidden="false" outlineLevel="0" max="41" min="41" style="42" width="8.57"/>
    <col collapsed="false" customWidth="true" hidden="false" outlineLevel="0" max="42" min="42" style="42" width="4.71"/>
    <col collapsed="false" customWidth="true" hidden="false" outlineLevel="0" max="43" min="43" style="42" width="115.71"/>
    <col collapsed="false" customWidth="false" hidden="false" outlineLevel="0" max="45" min="44" style="47" width="10.57"/>
    <col collapsed="false" customWidth="true" hidden="false" outlineLevel="0" max="46" min="46" style="47" width="11.14"/>
    <col collapsed="false" customWidth="false" hidden="false" outlineLevel="0" max="48" min="47" style="47" width="10.57"/>
  </cols>
  <sheetData>
    <row r="1" customFormat="false" ht="14.25" hidden="true" customHeight="true" outlineLevel="0" collapsed="false"/>
    <row r="2" customFormat="false" ht="21" hidden="true" customHeight="true" outlineLevel="0" collapsed="false">
      <c r="A2" s="233"/>
      <c r="B2" s="233"/>
      <c r="C2" s="233"/>
      <c r="D2" s="233"/>
      <c r="E2" s="492" t="n">
        <v>1</v>
      </c>
      <c r="F2" s="233"/>
      <c r="G2" s="233"/>
      <c r="H2" s="233"/>
      <c r="I2" s="233"/>
      <c r="J2" s="233"/>
      <c r="K2" s="233"/>
      <c r="L2" s="233"/>
      <c r="M2" s="493"/>
      <c r="N2" s="75"/>
      <c r="O2" s="75"/>
      <c r="P2" s="75"/>
      <c r="R2" s="131"/>
      <c r="S2" s="131"/>
      <c r="T2" s="418"/>
      <c r="U2" s="419" t="e">
        <f aca="false">INDEX(PT_DIFFERENTIATION_NUM_NTAR,MATCH(A2,PT_DIFFERENTIATION_NTAR_ID,0))</f>
        <v>#N/A</v>
      </c>
      <c r="V2" s="420" t="s">
        <v>130</v>
      </c>
      <c r="W2" s="421"/>
      <c r="X2" s="423"/>
      <c r="Y2" s="423"/>
      <c r="Z2" s="423"/>
      <c r="AA2" s="423"/>
      <c r="AB2" s="423"/>
      <c r="AC2" s="423"/>
      <c r="AD2" s="423"/>
      <c r="AE2" s="423"/>
      <c r="AF2" s="423"/>
      <c r="AG2" s="423" t="e">
        <f aca="false">INDEX(PT_DIFFERENTIATION_NTAR,MATCH(A2,PT_DIFFERENTIATION_NTAR_ID,0))</f>
        <v>#N/A</v>
      </c>
      <c r="AH2" s="423"/>
      <c r="AI2" s="423"/>
      <c r="AJ2" s="423"/>
      <c r="AK2" s="423"/>
      <c r="AL2" s="423"/>
      <c r="AM2" s="423"/>
      <c r="AN2" s="423"/>
      <c r="AO2" s="423"/>
      <c r="AP2" s="423"/>
      <c r="AQ2" s="424" t="s">
        <v>412</v>
      </c>
      <c r="AS2" s="117"/>
      <c r="AT2" s="117" t="str">
        <f aca="false">IF(V2="","",V2)</f>
        <v>Наименование тарифа</v>
      </c>
      <c r="AU2" s="117"/>
      <c r="AV2" s="117"/>
    </row>
    <row r="3" customFormat="false" ht="21" hidden="true" customHeight="true" outlineLevel="0" collapsed="false">
      <c r="A3" s="233"/>
      <c r="B3" s="233"/>
      <c r="C3" s="233"/>
      <c r="D3" s="233"/>
      <c r="E3" s="492"/>
      <c r="F3" s="492" t="n">
        <v>1</v>
      </c>
      <c r="G3" s="233"/>
      <c r="H3" s="233"/>
      <c r="I3" s="233"/>
      <c r="J3" s="233"/>
      <c r="K3" s="233"/>
      <c r="L3" s="233"/>
      <c r="M3" s="493"/>
      <c r="N3" s="75"/>
      <c r="O3" s="75"/>
      <c r="P3" s="75"/>
      <c r="Q3" s="43"/>
      <c r="R3" s="425"/>
      <c r="S3" s="42"/>
      <c r="T3" s="426"/>
      <c r="U3" s="419" t="e">
        <f aca="false">INDEX(PT_DIFFERENTIATION_NUM_TER,MATCH(B3,PT_DIFFERENTIATION_TER_ID,0))</f>
        <v>#N/A</v>
      </c>
      <c r="V3" s="427" t="s">
        <v>413</v>
      </c>
      <c r="W3" s="421"/>
      <c r="X3" s="423"/>
      <c r="Y3" s="423"/>
      <c r="Z3" s="423"/>
      <c r="AA3" s="423"/>
      <c r="AB3" s="423"/>
      <c r="AC3" s="423"/>
      <c r="AD3" s="423"/>
      <c r="AE3" s="423"/>
      <c r="AF3" s="423"/>
      <c r="AG3" s="423" t="e">
        <f aca="false">INDEX(PT_DIFFERENTIATION_TER,MATCH(B3,PT_DIFFERENTIATION_TER_ID,0))</f>
        <v>#N/A</v>
      </c>
      <c r="AH3" s="423"/>
      <c r="AI3" s="423"/>
      <c r="AJ3" s="423"/>
      <c r="AK3" s="423"/>
      <c r="AL3" s="423"/>
      <c r="AM3" s="423"/>
      <c r="AN3" s="423"/>
      <c r="AO3" s="423"/>
      <c r="AP3" s="423"/>
      <c r="AQ3" s="424" t="s">
        <v>414</v>
      </c>
      <c r="AS3" s="117"/>
      <c r="AT3" s="117" t="str">
        <f aca="false">IF(V3="","",V3)</f>
        <v>Территория действия тарифа</v>
      </c>
      <c r="AU3" s="117"/>
      <c r="AV3" s="117"/>
    </row>
    <row r="4" customFormat="false" ht="22.5" hidden="true" customHeight="true" outlineLevel="0" collapsed="false">
      <c r="A4" s="233"/>
      <c r="B4" s="233"/>
      <c r="C4" s="233"/>
      <c r="D4" s="233"/>
      <c r="E4" s="492"/>
      <c r="F4" s="492"/>
      <c r="G4" s="492" t="n">
        <v>1</v>
      </c>
      <c r="H4" s="233"/>
      <c r="I4" s="233"/>
      <c r="J4" s="233"/>
      <c r="K4" s="233"/>
      <c r="L4" s="233"/>
      <c r="M4" s="493"/>
      <c r="N4" s="75"/>
      <c r="O4" s="75"/>
      <c r="P4" s="75"/>
      <c r="Q4" s="428"/>
      <c r="R4" s="425"/>
      <c r="S4" s="42"/>
      <c r="T4" s="426"/>
      <c r="U4" s="419" t="e">
        <f aca="false">INDEX(PT_DIFFERENTIATION_NUM_CS,MATCH(C4,PT_DIFFERENTIATION_CS_ID,0))</f>
        <v>#N/A</v>
      </c>
      <c r="V4" s="429" t="s">
        <v>415</v>
      </c>
      <c r="W4" s="421"/>
      <c r="X4" s="423"/>
      <c r="Y4" s="423"/>
      <c r="Z4" s="423"/>
      <c r="AA4" s="423"/>
      <c r="AB4" s="423"/>
      <c r="AC4" s="423"/>
      <c r="AD4" s="423"/>
      <c r="AE4" s="423"/>
      <c r="AF4" s="423"/>
      <c r="AG4" s="423" t="e">
        <f aca="false">INDEX(PT_DIFFERENTIATION_CS,MATCH(C4,PT_DIFFERENTIATION_CS_ID,0))</f>
        <v>#N/A</v>
      </c>
      <c r="AH4" s="423"/>
      <c r="AI4" s="423"/>
      <c r="AJ4" s="423"/>
      <c r="AK4" s="423"/>
      <c r="AL4" s="423"/>
      <c r="AM4" s="423"/>
      <c r="AN4" s="423"/>
      <c r="AO4" s="423"/>
      <c r="AP4" s="423"/>
      <c r="AQ4" s="424" t="s">
        <v>416</v>
      </c>
      <c r="AS4" s="117"/>
      <c r="AT4" s="117" t="str">
        <f aca="false">IF(V4="","",V4)</f>
        <v>Наименование системы теплоснабжения</v>
      </c>
      <c r="AU4" s="117"/>
      <c r="AV4" s="117"/>
    </row>
    <row r="5" customFormat="false" ht="21" hidden="true" customHeight="true" outlineLevel="0" collapsed="false">
      <c r="A5" s="233"/>
      <c r="B5" s="233"/>
      <c r="C5" s="233"/>
      <c r="D5" s="233"/>
      <c r="E5" s="492"/>
      <c r="F5" s="492"/>
      <c r="G5" s="492"/>
      <c r="H5" s="492" t="n">
        <v>1</v>
      </c>
      <c r="I5" s="233"/>
      <c r="J5" s="233"/>
      <c r="K5" s="233"/>
      <c r="L5" s="233"/>
      <c r="M5" s="493"/>
      <c r="N5" s="75"/>
      <c r="O5" s="75"/>
      <c r="P5" s="75"/>
      <c r="Q5" s="428"/>
      <c r="R5" s="425"/>
      <c r="S5" s="42"/>
      <c r="T5" s="426"/>
      <c r="U5" s="419" t="e">
        <f aca="false">INDEX(PT_DIFFERENTIATION_NUM_IST_TE,MATCH(D5,PT_DIFFERENTIATION_IST_TE_ID,0))</f>
        <v>#N/A</v>
      </c>
      <c r="V5" s="430" t="s">
        <v>417</v>
      </c>
      <c r="W5" s="421"/>
      <c r="X5" s="423"/>
      <c r="Y5" s="423"/>
      <c r="Z5" s="423"/>
      <c r="AA5" s="423"/>
      <c r="AB5" s="423"/>
      <c r="AC5" s="423"/>
      <c r="AD5" s="423"/>
      <c r="AE5" s="423"/>
      <c r="AF5" s="423"/>
      <c r="AG5" s="423" t="e">
        <f aca="false">INDEX(PT_DIFFERENTIATION_IST_TE,MATCH(D5,PT_DIFFERENTIATION_IST_TE_ID,0))</f>
        <v>#N/A</v>
      </c>
      <c r="AH5" s="423"/>
      <c r="AI5" s="423"/>
      <c r="AJ5" s="423"/>
      <c r="AK5" s="423"/>
      <c r="AL5" s="423"/>
      <c r="AM5" s="423"/>
      <c r="AN5" s="423"/>
      <c r="AO5" s="423"/>
      <c r="AP5" s="423"/>
      <c r="AQ5" s="424" t="s">
        <v>418</v>
      </c>
      <c r="AS5" s="117"/>
      <c r="AT5" s="117" t="str">
        <f aca="false">IF(V5="","",V5)</f>
        <v>Источник тепловой энергии</v>
      </c>
      <c r="AU5" s="117"/>
      <c r="AV5" s="117"/>
    </row>
    <row r="6" customFormat="false" ht="14.25" hidden="true" customHeight="true" outlineLevel="0" collapsed="false">
      <c r="A6" s="233"/>
      <c r="B6" s="233"/>
      <c r="C6" s="233"/>
      <c r="D6" s="233"/>
      <c r="E6" s="492"/>
      <c r="F6" s="492"/>
      <c r="G6" s="492"/>
      <c r="H6" s="492"/>
      <c r="I6" s="145" t="e">
        <f aca="false">U5&amp;".1"</f>
        <v>#N/A</v>
      </c>
      <c r="J6" s="233"/>
      <c r="K6" s="233"/>
      <c r="L6" s="233"/>
      <c r="M6" s="493" t="s">
        <v>419</v>
      </c>
      <c r="N6" s="42"/>
      <c r="Q6" s="120" t="n">
        <v>1</v>
      </c>
      <c r="R6" s="120"/>
      <c r="S6" s="120"/>
      <c r="T6" s="432"/>
      <c r="U6" s="305"/>
      <c r="V6" s="502"/>
      <c r="W6" s="503"/>
      <c r="X6" s="504"/>
      <c r="Y6" s="504"/>
      <c r="Z6" s="504"/>
      <c r="AA6" s="504"/>
      <c r="AB6" s="504"/>
      <c r="AC6" s="504"/>
      <c r="AD6" s="504"/>
      <c r="AE6" s="504"/>
      <c r="AF6" s="504"/>
      <c r="AG6" s="504"/>
      <c r="AH6" s="504"/>
      <c r="AI6" s="504"/>
      <c r="AJ6" s="504"/>
      <c r="AK6" s="504"/>
      <c r="AL6" s="504"/>
      <c r="AM6" s="504"/>
      <c r="AN6" s="504"/>
      <c r="AO6" s="504"/>
      <c r="AP6" s="504"/>
      <c r="AQ6" s="505"/>
      <c r="AS6" s="117"/>
      <c r="AT6" s="117" t="str">
        <f aca="false">IF(V6="","",V6)</f>
        <v/>
      </c>
      <c r="AU6" s="117"/>
      <c r="AV6" s="117"/>
    </row>
    <row r="7" customFormat="false" ht="21" hidden="true" customHeight="true" outlineLevel="0" collapsed="false">
      <c r="A7" s="233"/>
      <c r="B7" s="233"/>
      <c r="C7" s="233"/>
      <c r="D7" s="233"/>
      <c r="E7" s="492"/>
      <c r="F7" s="492"/>
      <c r="G7" s="492"/>
      <c r="H7" s="492"/>
      <c r="I7" s="145"/>
      <c r="J7" s="145" t="e">
        <f aca="false">I6&amp;".1"</f>
        <v>#N/A</v>
      </c>
      <c r="K7" s="233"/>
      <c r="L7" s="233"/>
      <c r="M7" s="493" t="s">
        <v>422</v>
      </c>
      <c r="N7" s="42"/>
      <c r="O7" s="42"/>
      <c r="Q7" s="120"/>
      <c r="R7" s="120" t="n">
        <v>1</v>
      </c>
      <c r="S7" s="47"/>
      <c r="T7" s="435"/>
      <c r="U7" s="419" t="e">
        <f aca="false">$J7</f>
        <v>#N/A</v>
      </c>
      <c r="V7" s="436" t="s">
        <v>423</v>
      </c>
      <c r="W7" s="421"/>
      <c r="X7" s="434"/>
      <c r="Y7" s="434"/>
      <c r="Z7" s="434"/>
      <c r="AA7" s="434"/>
      <c r="AB7" s="434"/>
      <c r="AC7" s="434"/>
      <c r="AD7" s="434"/>
      <c r="AE7" s="434"/>
      <c r="AF7" s="434"/>
      <c r="AG7" s="434"/>
      <c r="AH7" s="434"/>
      <c r="AI7" s="434"/>
      <c r="AJ7" s="434"/>
      <c r="AK7" s="434"/>
      <c r="AL7" s="434"/>
      <c r="AM7" s="434"/>
      <c r="AN7" s="434"/>
      <c r="AO7" s="434"/>
      <c r="AP7" s="434"/>
      <c r="AQ7" s="424" t="s">
        <v>424</v>
      </c>
      <c r="AS7" s="117"/>
      <c r="AT7" s="117" t="str">
        <f aca="false">IF(V7="","",V7)</f>
        <v>Группа потребителей</v>
      </c>
      <c r="AU7" s="117"/>
      <c r="AV7" s="117"/>
    </row>
    <row r="8" customFormat="false" ht="21" hidden="true" customHeight="true" outlineLevel="0" collapsed="false">
      <c r="A8" s="233"/>
      <c r="B8" s="233"/>
      <c r="C8" s="233"/>
      <c r="D8" s="233"/>
      <c r="E8" s="492"/>
      <c r="F8" s="492"/>
      <c r="G8" s="492"/>
      <c r="H8" s="492"/>
      <c r="I8" s="145"/>
      <c r="J8" s="145"/>
      <c r="K8" s="133" t="e">
        <f aca="false">J7&amp;".1"</f>
        <v>#N/A</v>
      </c>
      <c r="L8" s="43"/>
      <c r="M8" s="493" t="s">
        <v>425</v>
      </c>
      <c r="N8" s="42"/>
      <c r="O8" s="42"/>
      <c r="P8" s="42"/>
      <c r="Q8" s="120"/>
      <c r="R8" s="120"/>
      <c r="S8" s="120" t="n">
        <v>1</v>
      </c>
      <c r="T8" s="435"/>
      <c r="U8" s="419" t="e">
        <f aca="false">$K8</f>
        <v>#N/A</v>
      </c>
      <c r="V8" s="437"/>
      <c r="W8" s="421"/>
      <c r="X8" s="438"/>
      <c r="Y8" s="438"/>
      <c r="Z8" s="438"/>
      <c r="AA8" s="438"/>
      <c r="AB8" s="512"/>
      <c r="AC8" s="441"/>
      <c r="AD8" s="203" t="s">
        <v>63</v>
      </c>
      <c r="AE8" s="441"/>
      <c r="AF8" s="203" t="s">
        <v>63</v>
      </c>
      <c r="AG8" s="513"/>
      <c r="AH8" s="438"/>
      <c r="AI8" s="438"/>
      <c r="AJ8" s="438"/>
      <c r="AK8" s="440"/>
      <c r="AL8" s="441"/>
      <c r="AM8" s="203" t="s">
        <v>63</v>
      </c>
      <c r="AN8" s="441"/>
      <c r="AO8" s="203" t="s">
        <v>63</v>
      </c>
      <c r="AP8" s="439"/>
      <c r="AQ8" s="514" t="s">
        <v>465</v>
      </c>
      <c r="AR8" s="47" t="e">
        <f aca="false">strcheckdate(X10:AP10)</f>
        <v>#NAME?</v>
      </c>
      <c r="AS8" s="117"/>
      <c r="AT8" s="117" t="str">
        <f aca="false">IF(V8="","",V8)</f>
        <v/>
      </c>
      <c r="AU8" s="117"/>
      <c r="AV8" s="117"/>
    </row>
    <row r="9" customFormat="false" ht="21" hidden="true" customHeight="true" outlineLevel="0" collapsed="false">
      <c r="A9" s="233"/>
      <c r="B9" s="233"/>
      <c r="C9" s="233"/>
      <c r="D9" s="233"/>
      <c r="E9" s="492"/>
      <c r="F9" s="492"/>
      <c r="G9" s="492"/>
      <c r="H9" s="492"/>
      <c r="I9" s="145"/>
      <c r="J9" s="145"/>
      <c r="K9" s="145"/>
      <c r="L9" s="133" t="e">
        <f aca="false">K8&amp;".1"</f>
        <v>#N/A</v>
      </c>
      <c r="M9" s="493"/>
      <c r="N9" s="42"/>
      <c r="O9" s="42"/>
      <c r="P9" s="42"/>
      <c r="Q9" s="120"/>
      <c r="R9" s="120"/>
      <c r="S9" s="120"/>
      <c r="T9" s="435"/>
      <c r="U9" s="419" t="e">
        <f aca="false">$L9</f>
        <v>#N/A</v>
      </c>
      <c r="V9" s="515"/>
      <c r="W9" s="421"/>
      <c r="X9" s="439"/>
      <c r="Y9" s="438"/>
      <c r="Z9" s="438"/>
      <c r="AA9" s="438"/>
      <c r="AB9" s="512"/>
      <c r="AC9" s="441"/>
      <c r="AD9" s="203"/>
      <c r="AE9" s="441"/>
      <c r="AF9" s="203"/>
      <c r="AG9" s="513"/>
      <c r="AH9" s="438"/>
      <c r="AI9" s="438"/>
      <c r="AJ9" s="438"/>
      <c r="AK9" s="440"/>
      <c r="AL9" s="441"/>
      <c r="AM9" s="203"/>
      <c r="AN9" s="441"/>
      <c r="AO9" s="203"/>
      <c r="AP9" s="439"/>
      <c r="AQ9" s="442" t="s">
        <v>466</v>
      </c>
      <c r="AS9" s="117"/>
      <c r="AT9" s="117"/>
      <c r="AU9" s="117"/>
      <c r="AV9" s="117"/>
    </row>
    <row r="10" customFormat="false" ht="14.25" hidden="true" customHeight="true" outlineLevel="0" collapsed="false">
      <c r="A10" s="233"/>
      <c r="B10" s="233"/>
      <c r="C10" s="233"/>
      <c r="D10" s="233"/>
      <c r="E10" s="492"/>
      <c r="F10" s="492"/>
      <c r="G10" s="492"/>
      <c r="H10" s="492"/>
      <c r="I10" s="145"/>
      <c r="J10" s="145"/>
      <c r="K10" s="145"/>
      <c r="L10" s="133"/>
      <c r="M10" s="493"/>
      <c r="N10" s="42"/>
      <c r="O10" s="42"/>
      <c r="P10" s="42"/>
      <c r="Q10" s="120"/>
      <c r="R10" s="120"/>
      <c r="S10" s="120"/>
      <c r="T10" s="435"/>
      <c r="U10" s="396"/>
      <c r="V10" s="421"/>
      <c r="W10" s="421"/>
      <c r="X10" s="439"/>
      <c r="Y10" s="439"/>
      <c r="Z10" s="439"/>
      <c r="AA10" s="439"/>
      <c r="AB10" s="516" t="str">
        <f aca="false">AC8&amp;"-"&amp;AE8</f>
        <v>-</v>
      </c>
      <c r="AC10" s="441"/>
      <c r="AD10" s="203"/>
      <c r="AE10" s="441"/>
      <c r="AF10" s="203"/>
      <c r="AG10" s="517"/>
      <c r="AH10" s="439"/>
      <c r="AI10" s="439"/>
      <c r="AJ10" s="439"/>
      <c r="AK10" s="443" t="str">
        <f aca="false">AL8&amp;"-"&amp;AN8</f>
        <v>-</v>
      </c>
      <c r="AL10" s="441"/>
      <c r="AM10" s="203"/>
      <c r="AN10" s="441"/>
      <c r="AO10" s="203"/>
      <c r="AP10" s="439"/>
      <c r="AQ10" s="442"/>
      <c r="AS10" s="117"/>
      <c r="AT10" s="117" t="str">
        <f aca="false">IF(V10="","",V10)</f>
        <v/>
      </c>
      <c r="AU10" s="117"/>
      <c r="AV10" s="117"/>
    </row>
    <row r="11" customFormat="false" ht="11.25" hidden="true" customHeight="true" outlineLevel="0" collapsed="false">
      <c r="A11" s="233"/>
      <c r="B11" s="233"/>
      <c r="C11" s="233"/>
      <c r="D11" s="233"/>
      <c r="E11" s="492"/>
      <c r="F11" s="492"/>
      <c r="G11" s="492"/>
      <c r="H11" s="492"/>
      <c r="I11" s="145"/>
      <c r="J11" s="145"/>
      <c r="K11" s="133"/>
      <c r="L11" s="233"/>
      <c r="M11" s="493"/>
      <c r="N11" s="42"/>
      <c r="O11" s="42"/>
      <c r="P11" s="42"/>
      <c r="Q11" s="120"/>
      <c r="R11" s="120"/>
      <c r="S11" s="120"/>
      <c r="T11" s="435"/>
      <c r="U11" s="444"/>
      <c r="V11" s="445" t="s">
        <v>467</v>
      </c>
      <c r="W11" s="518"/>
      <c r="X11" s="519"/>
      <c r="Y11" s="519"/>
      <c r="Z11" s="519"/>
      <c r="AA11" s="519"/>
      <c r="AB11" s="520"/>
      <c r="AC11" s="441"/>
      <c r="AD11" s="203"/>
      <c r="AE11" s="441"/>
      <c r="AF11" s="203"/>
      <c r="AG11" s="519"/>
      <c r="AH11" s="519"/>
      <c r="AI11" s="519"/>
      <c r="AJ11" s="519"/>
      <c r="AK11" s="520"/>
      <c r="AL11" s="441"/>
      <c r="AM11" s="203"/>
      <c r="AN11" s="441"/>
      <c r="AO11" s="203"/>
      <c r="AP11" s="521"/>
      <c r="AQ11" s="442"/>
      <c r="AS11" s="117"/>
      <c r="AT11" s="117"/>
      <c r="AU11" s="117"/>
      <c r="AV11" s="117"/>
    </row>
    <row r="12" customFormat="false" ht="15" hidden="true" customHeight="true" outlineLevel="0" collapsed="false">
      <c r="A12" s="233"/>
      <c r="B12" s="233"/>
      <c r="C12" s="233"/>
      <c r="D12" s="233"/>
      <c r="E12" s="492"/>
      <c r="F12" s="492"/>
      <c r="G12" s="492"/>
      <c r="H12" s="492"/>
      <c r="I12" s="145"/>
      <c r="J12" s="145"/>
      <c r="K12" s="233"/>
      <c r="L12" s="233"/>
      <c r="M12" s="493"/>
      <c r="N12" s="42"/>
      <c r="O12" s="42"/>
      <c r="Q12" s="120"/>
      <c r="R12" s="120"/>
      <c r="S12" s="120"/>
      <c r="T12" s="432"/>
      <c r="U12" s="444"/>
      <c r="V12" s="447" t="s">
        <v>427</v>
      </c>
      <c r="W12" s="193"/>
      <c r="X12" s="193"/>
      <c r="Y12" s="193"/>
      <c r="Z12" s="193"/>
      <c r="AA12" s="193"/>
      <c r="AB12" s="193"/>
      <c r="AC12" s="522"/>
      <c r="AD12" s="522"/>
      <c r="AE12" s="522"/>
      <c r="AF12" s="522"/>
      <c r="AG12" s="193"/>
      <c r="AH12" s="193"/>
      <c r="AI12" s="193"/>
      <c r="AJ12" s="193"/>
      <c r="AK12" s="193"/>
      <c r="AL12" s="193"/>
      <c r="AM12" s="193"/>
      <c r="AN12" s="193"/>
      <c r="AO12" s="193"/>
      <c r="AP12" s="446"/>
      <c r="AQ12" s="442"/>
      <c r="AS12" s="117"/>
      <c r="AT12" s="117" t="str">
        <f aca="false">IF(V12="","",V12)</f>
        <v>Добавить вид теплоносителя (параметры теплоносителя)</v>
      </c>
      <c r="AU12" s="117"/>
      <c r="AV12" s="117"/>
    </row>
    <row r="13" customFormat="false" ht="11.25" hidden="true" customHeight="true" outlineLevel="0" collapsed="false">
      <c r="A13" s="233"/>
      <c r="B13" s="233"/>
      <c r="C13" s="233"/>
      <c r="D13" s="233"/>
      <c r="E13" s="492"/>
      <c r="F13" s="492"/>
      <c r="G13" s="492"/>
      <c r="H13" s="492"/>
      <c r="I13" s="145"/>
      <c r="J13" s="233"/>
      <c r="K13" s="233"/>
      <c r="L13" s="233"/>
      <c r="M13" s="493"/>
      <c r="N13" s="42"/>
      <c r="Q13" s="120"/>
      <c r="R13" s="120"/>
      <c r="S13" s="120"/>
      <c r="T13" s="432"/>
      <c r="U13" s="444"/>
      <c r="V13" s="451" t="s">
        <v>428</v>
      </c>
      <c r="W13" s="193"/>
      <c r="X13" s="193"/>
      <c r="Y13" s="193"/>
      <c r="Z13" s="193"/>
      <c r="AA13" s="193"/>
      <c r="AB13" s="193"/>
      <c r="AC13" s="193"/>
      <c r="AD13" s="193"/>
      <c r="AE13" s="193"/>
      <c r="AF13" s="448"/>
      <c r="AG13" s="193"/>
      <c r="AH13" s="193"/>
      <c r="AI13" s="193"/>
      <c r="AJ13" s="193"/>
      <c r="AK13" s="193"/>
      <c r="AL13" s="193"/>
      <c r="AM13" s="193"/>
      <c r="AN13" s="193"/>
      <c r="AO13" s="448"/>
      <c r="AP13" s="193"/>
      <c r="AQ13" s="449"/>
      <c r="AS13" s="117"/>
      <c r="AT13" s="117" t="str">
        <f aca="false">IF(V13="","",V13)</f>
        <v>Добавить группу потребителей</v>
      </c>
      <c r="AU13" s="117"/>
      <c r="AV13" s="117"/>
    </row>
    <row r="14" customFormat="false" ht="14.25" hidden="true" customHeight="true" outlineLevel="0" collapsed="false">
      <c r="A14" s="233"/>
      <c r="B14" s="233"/>
      <c r="C14" s="233"/>
      <c r="D14" s="233"/>
      <c r="E14" s="492"/>
      <c r="F14" s="492"/>
      <c r="G14" s="492"/>
      <c r="H14" s="492"/>
      <c r="I14" s="233"/>
      <c r="J14" s="233"/>
      <c r="K14" s="233"/>
      <c r="L14" s="233"/>
      <c r="M14" s="493"/>
      <c r="N14" s="75"/>
      <c r="O14" s="75"/>
      <c r="P14" s="42"/>
      <c r="Q14" s="131"/>
      <c r="R14" s="450"/>
      <c r="S14" s="418"/>
      <c r="T14" s="131"/>
      <c r="U14" s="506"/>
      <c r="V14" s="507"/>
      <c r="W14" s="508"/>
      <c r="X14" s="508"/>
      <c r="Y14" s="508"/>
      <c r="Z14" s="508"/>
      <c r="AA14" s="508"/>
      <c r="AB14" s="508"/>
      <c r="AC14" s="508"/>
      <c r="AD14" s="508"/>
      <c r="AE14" s="508"/>
      <c r="AF14" s="508"/>
      <c r="AG14" s="508"/>
      <c r="AH14" s="508"/>
      <c r="AI14" s="508"/>
      <c r="AJ14" s="508"/>
      <c r="AK14" s="508"/>
      <c r="AL14" s="508"/>
      <c r="AM14" s="508"/>
      <c r="AN14" s="508"/>
      <c r="AO14" s="508"/>
      <c r="AP14" s="508"/>
      <c r="AQ14" s="509"/>
      <c r="AS14" s="117"/>
      <c r="AT14" s="117" t="str">
        <f aca="false">IF(V14="","",V14)</f>
        <v/>
      </c>
      <c r="AU14" s="117"/>
      <c r="AV14" s="117"/>
    </row>
    <row r="15" s="47" customFormat="true" ht="14.25" hidden="true" customHeight="true" outlineLevel="0" collapsed="false">
      <c r="A15" s="494"/>
      <c r="B15" s="494"/>
      <c r="C15" s="494"/>
      <c r="D15" s="494"/>
      <c r="E15" s="492"/>
      <c r="F15" s="492"/>
      <c r="G15" s="492"/>
      <c r="H15" s="494"/>
      <c r="I15" s="494"/>
      <c r="J15" s="494"/>
      <c r="K15" s="494"/>
      <c r="L15" s="494"/>
      <c r="M15" s="495"/>
      <c r="N15" s="496"/>
      <c r="O15" s="496"/>
      <c r="P15" s="119"/>
      <c r="Q15" s="155"/>
      <c r="R15" s="452"/>
      <c r="S15" s="155"/>
      <c r="T15" s="155"/>
      <c r="U15" s="453"/>
      <c r="V15" s="454" t="s">
        <v>430</v>
      </c>
      <c r="W15" s="455"/>
      <c r="X15" s="455"/>
      <c r="Y15" s="455"/>
      <c r="Z15" s="455"/>
      <c r="AA15" s="455"/>
      <c r="AB15" s="455"/>
      <c r="AC15" s="455"/>
      <c r="AD15" s="455"/>
      <c r="AE15" s="455"/>
      <c r="AF15" s="455"/>
      <c r="AG15" s="455"/>
      <c r="AH15" s="455"/>
      <c r="AI15" s="455"/>
      <c r="AJ15" s="455"/>
      <c r="AK15" s="455"/>
      <c r="AL15" s="455"/>
      <c r="AM15" s="455"/>
      <c r="AN15" s="455"/>
      <c r="AO15" s="455"/>
      <c r="AP15" s="455"/>
      <c r="AQ15" s="455"/>
      <c r="AS15" s="117"/>
      <c r="AT15" s="117" t="str">
        <f aca="false">IF(V15="","",V15)</f>
        <v>Добавить источник для дифференциации</v>
      </c>
      <c r="AU15" s="117"/>
      <c r="AV15" s="117"/>
    </row>
    <row r="16" s="47" customFormat="true" ht="14.25" hidden="true" customHeight="true" outlineLevel="0" collapsed="false">
      <c r="A16" s="494"/>
      <c r="B16" s="494"/>
      <c r="C16" s="494"/>
      <c r="D16" s="494"/>
      <c r="E16" s="492"/>
      <c r="F16" s="492"/>
      <c r="G16" s="494"/>
      <c r="H16" s="494"/>
      <c r="I16" s="494"/>
      <c r="J16" s="494"/>
      <c r="K16" s="494"/>
      <c r="L16" s="494"/>
      <c r="M16" s="495"/>
      <c r="N16" s="497"/>
      <c r="O16" s="497"/>
      <c r="P16" s="119"/>
      <c r="Q16" s="155"/>
      <c r="R16" s="452"/>
      <c r="S16" s="155"/>
      <c r="T16" s="155"/>
      <c r="U16" s="457"/>
      <c r="V16" s="458" t="s">
        <v>261</v>
      </c>
      <c r="W16" s="459"/>
      <c r="X16" s="459"/>
      <c r="Y16" s="459"/>
      <c r="Z16" s="459"/>
      <c r="AA16" s="459"/>
      <c r="AB16" s="459"/>
      <c r="AC16" s="459"/>
      <c r="AD16" s="459"/>
      <c r="AE16" s="459"/>
      <c r="AF16" s="459"/>
      <c r="AG16" s="459"/>
      <c r="AH16" s="459"/>
      <c r="AI16" s="459"/>
      <c r="AJ16" s="459"/>
      <c r="AK16" s="459"/>
      <c r="AL16" s="459"/>
      <c r="AM16" s="459"/>
      <c r="AN16" s="459"/>
      <c r="AO16" s="459"/>
      <c r="AP16" s="459"/>
      <c r="AQ16" s="459"/>
      <c r="AS16" s="117"/>
      <c r="AT16" s="117" t="str">
        <f aca="false">IF(V16="","",V16)</f>
        <v>Добавить централизованную систему для дифференциации</v>
      </c>
      <c r="AU16" s="117"/>
      <c r="AV16" s="117"/>
    </row>
    <row r="17" s="47" customFormat="true" ht="14.25" hidden="true" customHeight="true" outlineLevel="0" collapsed="false">
      <c r="A17" s="494"/>
      <c r="B17" s="494"/>
      <c r="C17" s="494"/>
      <c r="D17" s="494"/>
      <c r="E17" s="492"/>
      <c r="F17" s="494"/>
      <c r="G17" s="494"/>
      <c r="H17" s="494"/>
      <c r="I17" s="494"/>
      <c r="J17" s="494"/>
      <c r="K17" s="494"/>
      <c r="L17" s="494"/>
      <c r="M17" s="495"/>
      <c r="N17" s="497"/>
      <c r="O17" s="497"/>
      <c r="P17" s="119"/>
      <c r="Q17" s="155"/>
      <c r="R17" s="452"/>
      <c r="S17" s="155"/>
      <c r="T17" s="155"/>
      <c r="U17" s="457"/>
      <c r="V17" s="460" t="s">
        <v>268</v>
      </c>
      <c r="W17" s="459"/>
      <c r="X17" s="459"/>
      <c r="Y17" s="459"/>
      <c r="Z17" s="459"/>
      <c r="AA17" s="459"/>
      <c r="AB17" s="459"/>
      <c r="AC17" s="459"/>
      <c r="AD17" s="459"/>
      <c r="AE17" s="459"/>
      <c r="AF17" s="459"/>
      <c r="AG17" s="459"/>
      <c r="AH17" s="459"/>
      <c r="AI17" s="459"/>
      <c r="AJ17" s="459"/>
      <c r="AK17" s="459"/>
      <c r="AL17" s="459"/>
      <c r="AM17" s="459"/>
      <c r="AN17" s="459"/>
      <c r="AO17" s="459"/>
      <c r="AP17" s="459"/>
      <c r="AQ17" s="459"/>
      <c r="AS17" s="117"/>
      <c r="AT17" s="117" t="str">
        <f aca="false">IF(V17="","",V17)</f>
        <v>Добавить территорию для дифференциации</v>
      </c>
      <c r="AU17" s="117"/>
      <c r="AV17" s="117"/>
    </row>
    <row r="18" customFormat="false" ht="14.25" hidden="true" customHeight="true" outlineLevel="0" collapsed="false"/>
    <row r="19" customFormat="false" ht="14.25" hidden="true" customHeight="true" outlineLevel="0" collapsed="false">
      <c r="AG19" s="461"/>
      <c r="AH19" s="461"/>
      <c r="AI19" s="461"/>
      <c r="AJ19" s="461"/>
      <c r="AK19" s="462"/>
      <c r="AL19" s="463"/>
      <c r="AM19" s="464" t="s">
        <v>63</v>
      </c>
      <c r="AN19" s="463"/>
      <c r="AO19" s="464" t="s">
        <v>63</v>
      </c>
    </row>
    <row r="20" customFormat="false" ht="14.25" hidden="true" customHeight="true" outlineLevel="0" collapsed="false">
      <c r="AG20" s="461"/>
      <c r="AH20" s="461"/>
      <c r="AI20" s="461"/>
      <c r="AJ20" s="461"/>
      <c r="AK20" s="462"/>
      <c r="AL20" s="463"/>
      <c r="AM20" s="464"/>
      <c r="AN20" s="463"/>
      <c r="AO20" s="464"/>
    </row>
    <row r="21" customFormat="false" ht="14.25" hidden="true" customHeight="true" outlineLevel="0" collapsed="false">
      <c r="AG21" s="461"/>
      <c r="AH21" s="461"/>
      <c r="AI21" s="461"/>
      <c r="AJ21" s="461"/>
      <c r="AK21" s="462"/>
      <c r="AL21" s="463"/>
      <c r="AM21" s="464"/>
      <c r="AN21" s="463"/>
      <c r="AO21" s="464"/>
    </row>
    <row r="22" customFormat="false" ht="14.25" hidden="true" customHeight="true" outlineLevel="0" collapsed="false">
      <c r="AG22" s="461"/>
      <c r="AH22" s="461"/>
      <c r="AI22" s="461"/>
      <c r="AJ22" s="461"/>
      <c r="AK22" s="443" t="str">
        <f aca="false">AL19&amp;"-"&amp;AN19</f>
        <v>-</v>
      </c>
      <c r="AL22" s="463"/>
      <c r="AM22" s="463"/>
      <c r="AN22" s="463"/>
      <c r="AO22" s="463"/>
    </row>
    <row r="23" customFormat="false" ht="14.25" hidden="true" customHeight="true" outlineLevel="0" collapsed="false"/>
    <row r="24" s="45" customFormat="true" ht="22.5" hidden="true" customHeight="true" outlineLevel="0" collapsed="false">
      <c r="A24" s="42"/>
      <c r="B24" s="42"/>
      <c r="C24" s="42"/>
      <c r="D24" s="42"/>
      <c r="E24" s="42"/>
      <c r="F24" s="42"/>
      <c r="G24" s="42"/>
      <c r="H24" s="42"/>
      <c r="I24" s="42"/>
      <c r="J24" s="42"/>
      <c r="K24" s="42"/>
      <c r="L24" s="42"/>
      <c r="M24" s="43"/>
      <c r="N24" s="50"/>
      <c r="O24" s="50"/>
      <c r="P24" s="498" t="s">
        <v>431</v>
      </c>
      <c r="Q24" s="51"/>
      <c r="R24" s="466"/>
      <c r="S24" s="466"/>
      <c r="T24" s="466"/>
      <c r="U24" s="40"/>
      <c r="AC24" s="465"/>
      <c r="AE24" s="465"/>
      <c r="AL24" s="465"/>
      <c r="AN24" s="465"/>
      <c r="AR24" s="47"/>
      <c r="AS24" s="47"/>
      <c r="AT24" s="47"/>
      <c r="AU24" s="47"/>
      <c r="AV24" s="47"/>
    </row>
    <row r="25" s="45" customFormat="true" ht="14.25" hidden="true" customHeight="true" outlineLevel="0" collapsed="false">
      <c r="A25" s="42"/>
      <c r="B25" s="42"/>
      <c r="C25" s="42"/>
      <c r="D25" s="42"/>
      <c r="E25" s="42"/>
      <c r="F25" s="42"/>
      <c r="G25" s="42"/>
      <c r="H25" s="42"/>
      <c r="I25" s="42"/>
      <c r="J25" s="42"/>
      <c r="K25" s="42"/>
      <c r="L25" s="42"/>
      <c r="M25" s="43"/>
      <c r="N25" s="50"/>
      <c r="O25" s="50"/>
      <c r="P25" s="50"/>
      <c r="Q25" s="51"/>
      <c r="R25" s="466"/>
      <c r="S25" s="466"/>
      <c r="T25" s="466"/>
      <c r="U25" s="40"/>
      <c r="AR25" s="47"/>
      <c r="AS25" s="47"/>
      <c r="AT25" s="47"/>
      <c r="AU25" s="47"/>
      <c r="AV25" s="47"/>
    </row>
    <row r="26" s="45" customFormat="true" ht="14.25" hidden="true" customHeight="true" outlineLevel="0" collapsed="false">
      <c r="A26" s="42"/>
      <c r="B26" s="42"/>
      <c r="C26" s="42"/>
      <c r="D26" s="42"/>
      <c r="E26" s="42"/>
      <c r="F26" s="42"/>
      <c r="G26" s="42"/>
      <c r="H26" s="42"/>
      <c r="I26" s="42"/>
      <c r="J26" s="42"/>
      <c r="K26" s="42"/>
      <c r="L26" s="42"/>
      <c r="M26" s="43"/>
      <c r="N26" s="50"/>
      <c r="O26" s="50"/>
      <c r="P26" s="493" t="s">
        <v>432</v>
      </c>
      <c r="Q26" s="51"/>
      <c r="R26" s="466"/>
      <c r="S26" s="466"/>
      <c r="T26" s="466"/>
      <c r="U26" s="40"/>
      <c r="V26" s="45" t="s">
        <v>433</v>
      </c>
      <c r="AD26" s="139" t="s">
        <v>434</v>
      </c>
      <c r="AF26" s="139" t="s">
        <v>435</v>
      </c>
      <c r="AG26" s="45" t="s">
        <v>433</v>
      </c>
      <c r="AM26" s="139" t="s">
        <v>436</v>
      </c>
      <c r="AO26" s="139" t="s">
        <v>435</v>
      </c>
      <c r="AR26" s="47"/>
      <c r="AS26" s="47"/>
      <c r="AT26" s="47"/>
      <c r="AU26" s="47"/>
      <c r="AV26" s="47"/>
    </row>
    <row r="27" customFormat="false" ht="14.25" hidden="true" customHeight="true" outlineLevel="0" collapsed="false">
      <c r="P27" s="493"/>
    </row>
    <row r="28" customFormat="false" ht="14.25" hidden="true" customHeight="true" outlineLevel="0" collapsed="false">
      <c r="P28" s="493"/>
    </row>
    <row r="29" customFormat="false" ht="14.25" hidden="false" customHeight="true" outlineLevel="0" collapsed="false">
      <c r="R29" s="467"/>
      <c r="S29" s="467"/>
      <c r="T29" s="467"/>
      <c r="U29" s="468"/>
      <c r="V29" s="79"/>
      <c r="W29" s="79"/>
    </row>
    <row r="30" customFormat="false" ht="54" hidden="false" customHeight="true" outlineLevel="0" collapsed="false">
      <c r="R30" s="467"/>
      <c r="S30" s="467"/>
      <c r="T30" s="467"/>
      <c r="U30" s="212" t="str">
        <f aca="false">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
      <c r="W30" s="212"/>
      <c r="X30" s="212"/>
      <c r="Y30" s="212"/>
      <c r="Z30" s="212"/>
      <c r="AA30" s="212"/>
      <c r="AB30" s="212"/>
      <c r="AC30" s="212"/>
      <c r="AD30" s="212"/>
      <c r="AE30" s="212"/>
      <c r="AF30" s="212"/>
      <c r="AG30" s="212"/>
      <c r="AH30" s="212"/>
      <c r="AI30" s="212"/>
      <c r="AJ30" s="212"/>
      <c r="AK30" s="212"/>
      <c r="AL30" s="212"/>
      <c r="AM30" s="212"/>
      <c r="AN30" s="212"/>
      <c r="AO30" s="214"/>
    </row>
    <row r="31" customFormat="false" ht="14.25" hidden="false" customHeight="true" outlineLevel="0" collapsed="false">
      <c r="R31" s="467"/>
      <c r="S31" s="467"/>
      <c r="T31" s="467"/>
      <c r="U31" s="265" t="str">
        <f aca="false">IF(org=0,"Не определено",org)</f>
        <v>ООО "Газпром теплоэнерго Ярославль"</v>
      </c>
      <c r="V31" s="265"/>
      <c r="W31" s="265"/>
      <c r="X31" s="265"/>
      <c r="Y31" s="265"/>
      <c r="Z31" s="265"/>
      <c r="AA31" s="265"/>
      <c r="AB31" s="265"/>
      <c r="AC31" s="265"/>
      <c r="AD31" s="265"/>
      <c r="AE31" s="265"/>
      <c r="AF31" s="265"/>
      <c r="AG31" s="265"/>
      <c r="AH31" s="265"/>
      <c r="AI31" s="265"/>
      <c r="AJ31" s="265"/>
      <c r="AK31" s="265"/>
      <c r="AL31" s="265"/>
      <c r="AM31" s="265"/>
      <c r="AN31" s="265"/>
      <c r="AO31" s="214"/>
    </row>
    <row r="32" customFormat="false" ht="14.25" hidden="false" customHeight="true" outlineLevel="0" collapsed="false">
      <c r="R32" s="467"/>
      <c r="S32" s="467"/>
      <c r="T32" s="467"/>
      <c r="U32" s="468"/>
      <c r="V32" s="79"/>
      <c r="W32" s="79"/>
      <c r="X32" s="469"/>
      <c r="Y32" s="469"/>
      <c r="Z32" s="469"/>
      <c r="AA32" s="469"/>
      <c r="AB32" s="469"/>
      <c r="AC32" s="469"/>
      <c r="AD32" s="469"/>
      <c r="AE32" s="469"/>
      <c r="AF32" s="469"/>
      <c r="AG32" s="469"/>
      <c r="AH32" s="469"/>
      <c r="AI32" s="469"/>
      <c r="AJ32" s="469"/>
      <c r="AK32" s="469"/>
      <c r="AL32" s="469"/>
      <c r="AM32" s="469"/>
      <c r="AN32" s="469"/>
      <c r="AO32" s="469"/>
    </row>
    <row r="33" s="174" customFormat="true" ht="25.5" hidden="false" customHeight="true" outlineLevel="0" collapsed="false">
      <c r="A33" s="95"/>
      <c r="B33" s="95"/>
      <c r="C33" s="95"/>
      <c r="D33" s="95"/>
      <c r="E33" s="95"/>
      <c r="F33" s="95"/>
      <c r="G33" s="95"/>
      <c r="H33" s="95"/>
      <c r="I33" s="95"/>
      <c r="J33" s="95"/>
      <c r="K33" s="95"/>
      <c r="L33" s="95"/>
      <c r="M33" s="493"/>
      <c r="N33" s="95"/>
      <c r="O33" s="95"/>
      <c r="P33" s="95"/>
      <c r="U33" s="470" t="s">
        <v>37</v>
      </c>
      <c r="V33" s="470"/>
      <c r="W33" s="471"/>
      <c r="X33" s="472" t="str">
        <f aca="false">IF(TITLE_NAME_OR_PR_CHANGE="",IF(TITLE_NAME_OR_PR="","",TITLE_NAME_OR_PR),TITLE_NAME_OR_PR_CHANGE)</f>
        <v>Министерство тарифного регулирования Ярославской области</v>
      </c>
      <c r="Y33" s="472"/>
      <c r="Z33" s="472"/>
      <c r="AA33" s="472"/>
      <c r="AB33" s="472"/>
      <c r="AC33" s="472"/>
      <c r="AD33" s="472"/>
      <c r="AE33" s="472"/>
      <c r="AF33" s="42"/>
      <c r="AG33" s="472" t="str">
        <f aca="false">IF(TITLE_NAME_OR_PR_CHANGE="",IF(TITLE_NAME_OR_PR="","",TITLE_NAME_OR_PR),TITLE_NAME_OR_PR_CHANGE)</f>
        <v>Министерство тарифного регулирования Ярославской области</v>
      </c>
      <c r="AH33" s="472"/>
      <c r="AI33" s="472"/>
      <c r="AJ33" s="472"/>
      <c r="AK33" s="472"/>
      <c r="AL33" s="472"/>
      <c r="AM33" s="472"/>
      <c r="AN33" s="472"/>
      <c r="AO33" s="42"/>
      <c r="AP33" s="42"/>
      <c r="AQ33" s="473"/>
      <c r="AR33" s="117"/>
      <c r="AS33" s="117"/>
      <c r="AT33" s="117"/>
      <c r="AU33" s="117"/>
      <c r="AV33" s="117"/>
    </row>
    <row r="34" s="174" customFormat="true" ht="18.75" hidden="false" customHeight="true" outlineLevel="0" collapsed="false">
      <c r="A34" s="95"/>
      <c r="B34" s="95"/>
      <c r="C34" s="95"/>
      <c r="D34" s="95"/>
      <c r="E34" s="95"/>
      <c r="F34" s="95"/>
      <c r="G34" s="95"/>
      <c r="H34" s="95"/>
      <c r="I34" s="95"/>
      <c r="J34" s="95"/>
      <c r="K34" s="95"/>
      <c r="L34" s="95"/>
      <c r="M34" s="493"/>
      <c r="N34" s="95"/>
      <c r="O34" s="95"/>
      <c r="P34" s="95"/>
      <c r="U34" s="470" t="s">
        <v>437</v>
      </c>
      <c r="V34" s="470"/>
      <c r="W34" s="471"/>
      <c r="X34" s="474" t="str">
        <f aca="false">IF(TITLE_DATE_PR_CHANGE="",IF(TITLE_DATE_PR="","",TITLE_DATE_PR),TITLE_DATE_PR_CHANGE)</f>
        <v>45279.46460648148</v>
      </c>
      <c r="Y34" s="474"/>
      <c r="Z34" s="474"/>
      <c r="AA34" s="474"/>
      <c r="AB34" s="474"/>
      <c r="AC34" s="474"/>
      <c r="AD34" s="474"/>
      <c r="AE34" s="474"/>
      <c r="AF34" s="42"/>
      <c r="AG34" s="474" t="str">
        <f aca="false">IF(TITLE_DATE_PR_CHANGE="",IF(TITLE_DATE_PR="","",TITLE_DATE_PR),TITLE_DATE_PR_CHANGE)</f>
        <v>45279.46460648148</v>
      </c>
      <c r="AH34" s="474"/>
      <c r="AI34" s="474"/>
      <c r="AJ34" s="474"/>
      <c r="AK34" s="474"/>
      <c r="AL34" s="474"/>
      <c r="AM34" s="474"/>
      <c r="AN34" s="474"/>
      <c r="AO34" s="42"/>
      <c r="AP34" s="42"/>
      <c r="AQ34" s="473"/>
      <c r="AR34" s="117"/>
      <c r="AS34" s="117"/>
      <c r="AT34" s="117"/>
      <c r="AU34" s="117"/>
      <c r="AV34" s="117"/>
    </row>
    <row r="35" s="174" customFormat="true" ht="18.75" hidden="false" customHeight="true" outlineLevel="0" collapsed="false">
      <c r="A35" s="95"/>
      <c r="B35" s="95"/>
      <c r="C35" s="95"/>
      <c r="D35" s="95"/>
      <c r="E35" s="95"/>
      <c r="F35" s="95"/>
      <c r="G35" s="95"/>
      <c r="H35" s="95"/>
      <c r="I35" s="95"/>
      <c r="J35" s="95"/>
      <c r="K35" s="95"/>
      <c r="L35" s="95"/>
      <c r="M35" s="493"/>
      <c r="N35" s="95"/>
      <c r="O35" s="95"/>
      <c r="P35" s="95"/>
      <c r="U35" s="470" t="s">
        <v>438</v>
      </c>
      <c r="V35" s="470"/>
      <c r="W35" s="471"/>
      <c r="X35" s="472" t="str">
        <f aca="false">IF(TITLE_NUMBER_PR_CHANGE="",IF(TITLE_NUMBER_PR="","",TITLE_NUMBER_PR),TITLE_NUMBER_PR_CHANGE)</f>
        <v>403-гвс, 404-гвс, 406-гвс</v>
      </c>
      <c r="Y35" s="472"/>
      <c r="Z35" s="472"/>
      <c r="AA35" s="472"/>
      <c r="AB35" s="472"/>
      <c r="AC35" s="472"/>
      <c r="AD35" s="472"/>
      <c r="AE35" s="472"/>
      <c r="AF35" s="42"/>
      <c r="AG35" s="472" t="str">
        <f aca="false">IF(TITLE_NUMBER_PR_CHANGE="",IF(TITLE_NUMBER_PR="","",TITLE_NUMBER_PR),TITLE_NUMBER_PR_CHANGE)</f>
        <v>403-гвс, 404-гвс, 406-гвс</v>
      </c>
      <c r="AH35" s="472"/>
      <c r="AI35" s="472"/>
      <c r="AJ35" s="472"/>
      <c r="AK35" s="472"/>
      <c r="AL35" s="472"/>
      <c r="AM35" s="472"/>
      <c r="AN35" s="472"/>
      <c r="AO35" s="42"/>
      <c r="AP35" s="42"/>
      <c r="AQ35" s="473"/>
      <c r="AR35" s="117"/>
      <c r="AS35" s="117"/>
      <c r="AT35" s="117"/>
      <c r="AU35" s="117"/>
      <c r="AV35" s="117"/>
    </row>
    <row r="36" s="174" customFormat="true" ht="18.75" hidden="false" customHeight="true" outlineLevel="0" collapsed="false">
      <c r="A36" s="95"/>
      <c r="B36" s="95"/>
      <c r="C36" s="95"/>
      <c r="D36" s="95"/>
      <c r="E36" s="95"/>
      <c r="F36" s="95"/>
      <c r="G36" s="95"/>
      <c r="H36" s="95"/>
      <c r="I36" s="95"/>
      <c r="J36" s="95"/>
      <c r="K36" s="95"/>
      <c r="L36" s="95"/>
      <c r="M36" s="493"/>
      <c r="N36" s="95"/>
      <c r="O36" s="95"/>
      <c r="P36" s="95"/>
      <c r="U36" s="470" t="s">
        <v>39</v>
      </c>
      <c r="V36" s="470"/>
      <c r="W36" s="471"/>
      <c r="X36" s="472" t="str">
        <f aca="false">IF(TITLE_IST_PUB_CHANGE="",IF(TITLE_IST_PUB="","",TITLE_IST_PUB),TITLE_IST_PUB_CHANGE)</f>
        <v>официальный интернет- портал правовой информации www.pravo.gov.ru</v>
      </c>
      <c r="Y36" s="472"/>
      <c r="Z36" s="472"/>
      <c r="AA36" s="472"/>
      <c r="AB36" s="472"/>
      <c r="AC36" s="472"/>
      <c r="AD36" s="472"/>
      <c r="AE36" s="472"/>
      <c r="AF36" s="42"/>
      <c r="AG36" s="472" t="str">
        <f aca="false">IF(TITLE_IST_PUB_CHANGE="",IF(TITLE_IST_PUB="","",TITLE_IST_PUB),TITLE_IST_PUB_CHANGE)</f>
        <v>официальный интернет- портал правовой информации www.pravo.gov.ru</v>
      </c>
      <c r="AH36" s="472"/>
      <c r="AI36" s="472"/>
      <c r="AJ36" s="472"/>
      <c r="AK36" s="472"/>
      <c r="AL36" s="472"/>
      <c r="AM36" s="472"/>
      <c r="AN36" s="472"/>
      <c r="AO36" s="42"/>
      <c r="AP36" s="42"/>
      <c r="AQ36" s="473"/>
      <c r="AR36" s="117"/>
      <c r="AS36" s="117"/>
      <c r="AT36" s="117"/>
      <c r="AU36" s="117"/>
      <c r="AV36" s="117"/>
    </row>
    <row r="37" customFormat="false" ht="14.25" hidden="true" customHeight="true" outlineLevel="0" collapsed="false">
      <c r="R37" s="467"/>
      <c r="S37" s="467"/>
      <c r="T37" s="467"/>
      <c r="U37" s="468"/>
      <c r="V37" s="79"/>
      <c r="W37" s="79"/>
      <c r="X37" s="469"/>
      <c r="Y37" s="469"/>
      <c r="Z37" s="469"/>
      <c r="AA37" s="469"/>
      <c r="AB37" s="469"/>
      <c r="AC37" s="469"/>
      <c r="AD37" s="469"/>
      <c r="AE37" s="469"/>
      <c r="AF37" s="469"/>
      <c r="AG37" s="469"/>
      <c r="AH37" s="469"/>
      <c r="AI37" s="469"/>
      <c r="AJ37" s="469"/>
      <c r="AK37" s="469"/>
      <c r="AL37" s="469"/>
      <c r="AM37" s="469"/>
      <c r="AN37" s="469"/>
      <c r="AO37" s="469"/>
    </row>
    <row r="38" s="174" customFormat="true" ht="18.75" hidden="true" customHeight="true" outlineLevel="0" collapsed="false">
      <c r="A38" s="95"/>
      <c r="B38" s="95"/>
      <c r="C38" s="95"/>
      <c r="D38" s="95"/>
      <c r="E38" s="95"/>
      <c r="F38" s="95"/>
      <c r="G38" s="95"/>
      <c r="H38" s="95"/>
      <c r="I38" s="95"/>
      <c r="J38" s="95"/>
      <c r="K38" s="95"/>
      <c r="L38" s="95"/>
      <c r="M38" s="493"/>
      <c r="N38" s="95"/>
      <c r="O38" s="95"/>
      <c r="P38" s="95"/>
      <c r="U38" s="470" t="s">
        <v>439</v>
      </c>
      <c r="V38" s="470"/>
      <c r="W38" s="471"/>
      <c r="X38" s="474" t="str">
        <f aca="false">IF(TITLE_DATE_PR_CHANGE="",IF(TITLE_DATE_PR="","",TITLE_DATE_PR),TITLE_DATE_PR_CHANGE)</f>
        <v>45279.46460648148</v>
      </c>
      <c r="Y38" s="474"/>
      <c r="Z38" s="474"/>
      <c r="AA38" s="474"/>
      <c r="AB38" s="474"/>
      <c r="AC38" s="474"/>
      <c r="AD38" s="474"/>
      <c r="AE38" s="474"/>
      <c r="AF38" s="42"/>
      <c r="AG38" s="474" t="str">
        <f aca="false">IF(TITLE_DATE_PR_CHANGE="",IF(TITLE_DATE_PR="","",TITLE_DATE_PR),TITLE_DATE_PR_CHANGE)</f>
        <v>45279.46460648148</v>
      </c>
      <c r="AH38" s="474"/>
      <c r="AI38" s="474"/>
      <c r="AJ38" s="474"/>
      <c r="AK38" s="474"/>
      <c r="AL38" s="474"/>
      <c r="AM38" s="474"/>
      <c r="AN38" s="474"/>
      <c r="AO38" s="42"/>
      <c r="AP38" s="42"/>
      <c r="AQ38" s="473"/>
      <c r="AR38" s="117"/>
      <c r="AS38" s="117"/>
      <c r="AT38" s="117"/>
      <c r="AU38" s="117"/>
      <c r="AV38" s="117"/>
    </row>
    <row r="39" s="174" customFormat="true" ht="18.75" hidden="true" customHeight="true" outlineLevel="0" collapsed="false">
      <c r="A39" s="95"/>
      <c r="B39" s="95"/>
      <c r="C39" s="95"/>
      <c r="D39" s="95"/>
      <c r="E39" s="95"/>
      <c r="F39" s="95"/>
      <c r="G39" s="95"/>
      <c r="H39" s="95"/>
      <c r="I39" s="95"/>
      <c r="J39" s="95"/>
      <c r="K39" s="95"/>
      <c r="L39" s="95"/>
      <c r="M39" s="493"/>
      <c r="N39" s="95"/>
      <c r="O39" s="95"/>
      <c r="P39" s="95"/>
      <c r="U39" s="470" t="s">
        <v>440</v>
      </c>
      <c r="V39" s="470"/>
      <c r="W39" s="471"/>
      <c r="X39" s="472" t="str">
        <f aca="false">IF(TITLE_NUMBER_PR_CHANGE="",IF(TITLE_NUMBER_PR="","",TITLE_NUMBER_PR),TITLE_NUMBER_PR_CHANGE)</f>
        <v>403-гвс, 404-гвс, 406-гвс</v>
      </c>
      <c r="Y39" s="472"/>
      <c r="Z39" s="472"/>
      <c r="AA39" s="472"/>
      <c r="AB39" s="472"/>
      <c r="AC39" s="472"/>
      <c r="AD39" s="472"/>
      <c r="AE39" s="472"/>
      <c r="AF39" s="42"/>
      <c r="AG39" s="472" t="str">
        <f aca="false">IF(TITLE_NUMBER_PR_CHANGE="",IF(TITLE_NUMBER_PR="","",TITLE_NUMBER_PR),TITLE_NUMBER_PR_CHANGE)</f>
        <v>403-гвс, 404-гвс, 406-гвс</v>
      </c>
      <c r="AH39" s="472"/>
      <c r="AI39" s="472"/>
      <c r="AJ39" s="472"/>
      <c r="AK39" s="472"/>
      <c r="AL39" s="472"/>
      <c r="AM39" s="472"/>
      <c r="AN39" s="472"/>
      <c r="AO39" s="42"/>
      <c r="AP39" s="42"/>
      <c r="AQ39" s="473"/>
      <c r="AR39" s="117"/>
      <c r="AS39" s="117"/>
      <c r="AT39" s="117"/>
      <c r="AU39" s="117"/>
      <c r="AV39" s="117"/>
    </row>
    <row r="40" s="174" customFormat="true" ht="12.8" hidden="false" customHeight="false" outlineLevel="0" collapsed="false">
      <c r="A40" s="95"/>
      <c r="B40" s="95"/>
      <c r="C40" s="95"/>
      <c r="D40" s="95"/>
      <c r="E40" s="95"/>
      <c r="F40" s="95"/>
      <c r="G40" s="95"/>
      <c r="H40" s="95"/>
      <c r="I40" s="95"/>
      <c r="J40" s="95"/>
      <c r="K40" s="95"/>
      <c r="L40" s="95"/>
      <c r="M40" s="493"/>
      <c r="N40" s="95"/>
      <c r="O40" s="95"/>
      <c r="P40" s="95"/>
      <c r="U40" s="42"/>
      <c r="V40" s="42"/>
      <c r="W40" s="127"/>
      <c r="X40" s="42"/>
      <c r="Y40" s="42"/>
      <c r="Z40" s="42"/>
      <c r="AA40" s="42"/>
      <c r="AB40" s="42"/>
      <c r="AC40" s="42"/>
      <c r="AD40" s="42"/>
      <c r="AE40" s="42"/>
      <c r="AF40" s="47" t="s">
        <v>441</v>
      </c>
      <c r="AG40" s="42"/>
      <c r="AH40" s="42"/>
      <c r="AI40" s="42"/>
      <c r="AJ40" s="42"/>
      <c r="AK40" s="42"/>
      <c r="AL40" s="42"/>
      <c r="AM40" s="42"/>
      <c r="AN40" s="42"/>
      <c r="AO40" s="47" t="s">
        <v>441</v>
      </c>
      <c r="AR40" s="117"/>
      <c r="AS40" s="117"/>
      <c r="AT40" s="117"/>
      <c r="AU40" s="117"/>
      <c r="AV40" s="117"/>
    </row>
    <row r="41" customFormat="false" ht="14.25" hidden="false" customHeight="true" outlineLevel="0" collapsed="false">
      <c r="R41" s="467"/>
      <c r="S41" s="467"/>
      <c r="T41" s="467"/>
      <c r="U41" s="468"/>
      <c r="V41" s="79"/>
      <c r="W41" s="475"/>
      <c r="X41" s="476"/>
      <c r="Y41" s="476"/>
      <c r="Z41" s="476"/>
      <c r="AA41" s="476"/>
      <c r="AB41" s="476"/>
      <c r="AC41" s="476"/>
      <c r="AD41" s="476"/>
      <c r="AE41" s="476"/>
      <c r="AF41" s="476"/>
      <c r="AG41" s="476"/>
      <c r="AH41" s="476"/>
      <c r="AI41" s="476"/>
      <c r="AJ41" s="476"/>
      <c r="AK41" s="476"/>
      <c r="AL41" s="476"/>
      <c r="AM41" s="476"/>
      <c r="AN41" s="476"/>
      <c r="AO41" s="476"/>
    </row>
    <row r="42" customFormat="false" ht="14.25" hidden="false" customHeight="true" outlineLevel="0" collapsed="false">
      <c r="R42" s="467"/>
      <c r="S42" s="467"/>
      <c r="T42" s="467"/>
      <c r="U42" s="133" t="s">
        <v>316</v>
      </c>
      <c r="V42" s="133"/>
      <c r="W42" s="133"/>
      <c r="X42" s="133"/>
      <c r="Y42" s="133"/>
      <c r="Z42" s="133"/>
      <c r="AA42" s="133"/>
      <c r="AB42" s="133"/>
      <c r="AC42" s="133"/>
      <c r="AD42" s="133"/>
      <c r="AE42" s="133"/>
      <c r="AF42" s="133"/>
      <c r="AG42" s="133"/>
      <c r="AH42" s="133"/>
      <c r="AI42" s="133"/>
      <c r="AJ42" s="133"/>
      <c r="AK42" s="133"/>
      <c r="AL42" s="133"/>
      <c r="AM42" s="133"/>
      <c r="AN42" s="133"/>
      <c r="AO42" s="133"/>
      <c r="AP42" s="133"/>
      <c r="AQ42" s="145" t="s">
        <v>317</v>
      </c>
    </row>
    <row r="43" customFormat="false" ht="14.25" hidden="false" customHeight="true" outlineLevel="0" collapsed="false">
      <c r="R43" s="467"/>
      <c r="S43" s="467"/>
      <c r="T43" s="467"/>
      <c r="U43" s="477" t="s">
        <v>84</v>
      </c>
      <c r="V43" s="394" t="s">
        <v>442</v>
      </c>
      <c r="W43" s="478"/>
      <c r="X43" s="300" t="s">
        <v>443</v>
      </c>
      <c r="Y43" s="300"/>
      <c r="Z43" s="300"/>
      <c r="AA43" s="300"/>
      <c r="AB43" s="300"/>
      <c r="AC43" s="300"/>
      <c r="AD43" s="300"/>
      <c r="AE43" s="300"/>
      <c r="AF43" s="394" t="s">
        <v>444</v>
      </c>
      <c r="AG43" s="300" t="s">
        <v>443</v>
      </c>
      <c r="AH43" s="300"/>
      <c r="AI43" s="300"/>
      <c r="AJ43" s="300"/>
      <c r="AK43" s="300"/>
      <c r="AL43" s="300"/>
      <c r="AM43" s="300"/>
      <c r="AN43" s="300"/>
      <c r="AO43" s="394" t="s">
        <v>445</v>
      </c>
      <c r="AP43" s="479" t="s">
        <v>446</v>
      </c>
      <c r="AQ43" s="145"/>
    </row>
    <row r="44" customFormat="false" ht="33.75" hidden="false" customHeight="true" outlineLevel="0" collapsed="false">
      <c r="R44" s="467"/>
      <c r="S44" s="467"/>
      <c r="T44" s="467"/>
      <c r="U44" s="477"/>
      <c r="V44" s="394"/>
      <c r="W44" s="480"/>
      <c r="X44" s="269" t="s">
        <v>468</v>
      </c>
      <c r="Y44" s="133" t="s">
        <v>469</v>
      </c>
      <c r="Z44" s="133"/>
      <c r="AA44" s="133"/>
      <c r="AB44" s="133"/>
      <c r="AC44" s="133" t="s">
        <v>450</v>
      </c>
      <c r="AD44" s="133"/>
      <c r="AE44" s="133"/>
      <c r="AF44" s="394"/>
      <c r="AG44" s="269" t="s">
        <v>468</v>
      </c>
      <c r="AH44" s="133" t="s">
        <v>469</v>
      </c>
      <c r="AI44" s="133"/>
      <c r="AJ44" s="133"/>
      <c r="AK44" s="133"/>
      <c r="AL44" s="133" t="s">
        <v>450</v>
      </c>
      <c r="AM44" s="133"/>
      <c r="AN44" s="133"/>
      <c r="AO44" s="394"/>
      <c r="AP44" s="479"/>
      <c r="AQ44" s="145"/>
    </row>
    <row r="45" customFormat="false" ht="14.25" hidden="false" customHeight="true" outlineLevel="0" collapsed="false">
      <c r="R45" s="467"/>
      <c r="S45" s="467"/>
      <c r="T45" s="467"/>
      <c r="U45" s="477"/>
      <c r="V45" s="394"/>
      <c r="W45" s="480"/>
      <c r="X45" s="269"/>
      <c r="Y45" s="184" t="s">
        <v>470</v>
      </c>
      <c r="Z45" s="184" t="s">
        <v>471</v>
      </c>
      <c r="AA45" s="184"/>
      <c r="AB45" s="184"/>
      <c r="AC45" s="133"/>
      <c r="AD45" s="133"/>
      <c r="AE45" s="133"/>
      <c r="AF45" s="394"/>
      <c r="AG45" s="269"/>
      <c r="AH45" s="184" t="s">
        <v>470</v>
      </c>
      <c r="AI45" s="184" t="s">
        <v>471</v>
      </c>
      <c r="AJ45" s="184"/>
      <c r="AK45" s="184"/>
      <c r="AL45" s="133"/>
      <c r="AM45" s="133"/>
      <c r="AN45" s="133"/>
      <c r="AO45" s="394"/>
      <c r="AP45" s="479"/>
      <c r="AQ45" s="145"/>
    </row>
    <row r="46" customFormat="false" ht="25.5" hidden="false" customHeight="true" outlineLevel="0" collapsed="false">
      <c r="R46" s="467"/>
      <c r="S46" s="467"/>
      <c r="T46" s="467"/>
      <c r="U46" s="477"/>
      <c r="V46" s="394"/>
      <c r="W46" s="480"/>
      <c r="X46" s="269"/>
      <c r="Y46" s="184"/>
      <c r="Z46" s="358" t="s">
        <v>472</v>
      </c>
      <c r="AA46" s="184" t="s">
        <v>473</v>
      </c>
      <c r="AB46" s="184"/>
      <c r="AC46" s="358" t="s">
        <v>460</v>
      </c>
      <c r="AD46" s="184" t="s">
        <v>461</v>
      </c>
      <c r="AE46" s="184"/>
      <c r="AF46" s="394"/>
      <c r="AG46" s="269"/>
      <c r="AH46" s="184"/>
      <c r="AI46" s="358" t="s">
        <v>472</v>
      </c>
      <c r="AJ46" s="184" t="s">
        <v>473</v>
      </c>
      <c r="AK46" s="184"/>
      <c r="AL46" s="358" t="s">
        <v>460</v>
      </c>
      <c r="AM46" s="184" t="s">
        <v>461</v>
      </c>
      <c r="AN46" s="184"/>
      <c r="AO46" s="394"/>
      <c r="AP46" s="479"/>
      <c r="AQ46" s="145"/>
    </row>
    <row r="47" customFormat="false" ht="62.25" hidden="false" customHeight="true" outlineLevel="0" collapsed="false">
      <c r="A47" s="95"/>
      <c r="B47" s="95" t="s">
        <v>142</v>
      </c>
      <c r="C47" s="95" t="s">
        <v>143</v>
      </c>
      <c r="D47" s="95" t="s">
        <v>144</v>
      </c>
      <c r="E47" s="493" t="s">
        <v>451</v>
      </c>
      <c r="F47" s="493" t="s">
        <v>452</v>
      </c>
      <c r="G47" s="493" t="s">
        <v>453</v>
      </c>
      <c r="H47" s="493" t="s">
        <v>454</v>
      </c>
      <c r="I47" s="493" t="s">
        <v>455</v>
      </c>
      <c r="J47" s="493" t="s">
        <v>456</v>
      </c>
      <c r="K47" s="493" t="s">
        <v>457</v>
      </c>
      <c r="L47" s="493" t="s">
        <v>474</v>
      </c>
      <c r="M47" s="493" t="s">
        <v>432</v>
      </c>
      <c r="R47" s="467"/>
      <c r="S47" s="467"/>
      <c r="T47" s="467"/>
      <c r="U47" s="477"/>
      <c r="V47" s="394"/>
      <c r="W47" s="481"/>
      <c r="X47" s="269"/>
      <c r="Y47" s="184"/>
      <c r="Z47" s="184"/>
      <c r="AA47" s="184" t="s">
        <v>475</v>
      </c>
      <c r="AB47" s="184" t="s">
        <v>476</v>
      </c>
      <c r="AC47" s="358"/>
      <c r="AD47" s="184"/>
      <c r="AE47" s="184"/>
      <c r="AF47" s="394"/>
      <c r="AG47" s="269"/>
      <c r="AH47" s="184"/>
      <c r="AI47" s="184"/>
      <c r="AJ47" s="184" t="s">
        <v>475</v>
      </c>
      <c r="AK47" s="184" t="s">
        <v>476</v>
      </c>
      <c r="AL47" s="358"/>
      <c r="AM47" s="184"/>
      <c r="AN47" s="184"/>
      <c r="AO47" s="394"/>
      <c r="AP47" s="479"/>
      <c r="AQ47" s="145"/>
    </row>
    <row r="48" s="119" customFormat="true" ht="11.25" hidden="true" customHeight="true" outlineLevel="0" collapsed="false">
      <c r="A48" s="95"/>
      <c r="B48" s="95"/>
      <c r="C48" s="95"/>
      <c r="D48" s="95"/>
      <c r="E48" s="95"/>
      <c r="F48" s="95"/>
      <c r="G48" s="95"/>
      <c r="H48" s="95"/>
      <c r="I48" s="95"/>
      <c r="J48" s="95"/>
      <c r="K48" s="95"/>
      <c r="L48" s="95"/>
      <c r="M48" s="493"/>
      <c r="N48" s="50"/>
      <c r="O48" s="50"/>
      <c r="P48" s="50"/>
      <c r="Q48" s="482"/>
      <c r="R48" s="483"/>
      <c r="S48" s="484" t="n">
        <v>1</v>
      </c>
      <c r="T48" s="484"/>
      <c r="U48" s="485" t="s">
        <v>117</v>
      </c>
      <c r="V48" s="486" t="s">
        <v>99</v>
      </c>
      <c r="W48" s="487" t="str">
        <f aca="true">OFFSET(W48,0,-1)</f>
        <v>2</v>
      </c>
      <c r="X48" s="488" t="n">
        <f aca="true">OFFSET(X48,0,-1)+1</f>
        <v>3</v>
      </c>
      <c r="Y48" s="367"/>
      <c r="Z48" s="367"/>
      <c r="AA48" s="367" t="n">
        <f aca="true">OFFSET(AA48,0,-1)+1</f>
        <v>1</v>
      </c>
      <c r="AB48" s="367" t="n">
        <f aca="true">OFFSET(AB48,0,-1)+1</f>
        <v>2</v>
      </c>
      <c r="AC48" s="488" t="n">
        <f aca="true">OFFSET(AC48,0,-1)+1</f>
        <v>3</v>
      </c>
      <c r="AD48" s="488" t="n">
        <f aca="true">OFFSET(AD48,0,-1)+1</f>
        <v>4</v>
      </c>
      <c r="AE48" s="488"/>
      <c r="AF48" s="488" t="n">
        <f aca="true">OFFSET(AF48,0,-2)+1</f>
        <v>5</v>
      </c>
      <c r="AG48" s="488" t="n">
        <f aca="true">OFFSET(AG48,0,-1)+1</f>
        <v>6</v>
      </c>
      <c r="AH48" s="488"/>
      <c r="AI48" s="488"/>
      <c r="AJ48" s="488" t="n">
        <f aca="true">OFFSET(AJ48,0,-1)+1</f>
        <v>1</v>
      </c>
      <c r="AK48" s="488" t="n">
        <f aca="true">OFFSET(AK48,0,-1)+1</f>
        <v>2</v>
      </c>
      <c r="AL48" s="488" t="n">
        <f aca="true">OFFSET(AL48,0,-1)+1</f>
        <v>3</v>
      </c>
      <c r="AM48" s="488" t="n">
        <f aca="true">OFFSET(AM48,0,-1)+1</f>
        <v>4</v>
      </c>
      <c r="AN48" s="488"/>
      <c r="AO48" s="488" t="n">
        <f aca="true">OFFSET(AO48,0,-2)+1</f>
        <v>5</v>
      </c>
      <c r="AP48" s="487" t="n">
        <f aca="true">OFFSET(AP48,0,-1)</f>
        <v>5</v>
      </c>
      <c r="AQ48" s="488" t="n">
        <f aca="true">OFFSET(AQ48,0,-1)+1</f>
        <v>6</v>
      </c>
      <c r="AR48" s="47"/>
      <c r="AS48" s="47"/>
      <c r="AT48" s="47"/>
      <c r="AU48" s="47"/>
      <c r="AV48" s="47"/>
    </row>
    <row r="49" customFormat="false" ht="21" hidden="false" customHeight="true" outlineLevel="0" collapsed="false">
      <c r="A49" s="233" t="s">
        <v>181</v>
      </c>
      <c r="B49" s="233"/>
      <c r="C49" s="233"/>
      <c r="D49" s="233"/>
      <c r="E49" s="492" t="n">
        <v>1</v>
      </c>
      <c r="F49" s="233"/>
      <c r="G49" s="233"/>
      <c r="H49" s="233"/>
      <c r="I49" s="233"/>
      <c r="J49" s="233"/>
      <c r="K49" s="233"/>
      <c r="L49" s="233"/>
      <c r="M49" s="493"/>
      <c r="N49" s="75"/>
      <c r="O49" s="75"/>
      <c r="P49" s="75"/>
      <c r="R49" s="131"/>
      <c r="S49" s="131"/>
      <c r="T49" s="418"/>
      <c r="U49" s="419" t="n">
        <f aca="false">INDEX(PT_DIFFERENTIATION_NUM_NTAR,MATCH(A49,PT_DIFFERENTIATION_NTAR_ID,0))</f>
        <v>0</v>
      </c>
      <c r="V49" s="420" t="s">
        <v>130</v>
      </c>
      <c r="W49" s="421"/>
      <c r="X49" s="423"/>
      <c r="Y49" s="423"/>
      <c r="Z49" s="423"/>
      <c r="AA49" s="423"/>
      <c r="AB49" s="423"/>
      <c r="AC49" s="423"/>
      <c r="AD49" s="423"/>
      <c r="AE49" s="423"/>
      <c r="AF49" s="423"/>
      <c r="AG49" s="423" t="str">
        <f aca="false">INDEX(PT_DIFFERENTIATION_NTAR,MATCH(A49,PT_DIFFERENTIATION_NTAR_ID,0))</f>
        <v/>
      </c>
      <c r="AH49" s="423"/>
      <c r="AI49" s="423"/>
      <c r="AJ49" s="423"/>
      <c r="AK49" s="423"/>
      <c r="AL49" s="423"/>
      <c r="AM49" s="423"/>
      <c r="AN49" s="423"/>
      <c r="AO49" s="423"/>
      <c r="AP49" s="423"/>
      <c r="AQ49" s="424"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117"/>
      <c r="AT49" s="117" t="str">
        <f aca="false">IF(V49="","",V49)</f>
        <v>Наименование тарифа</v>
      </c>
      <c r="AU49" s="117"/>
      <c r="AV49" s="117"/>
    </row>
    <row r="50" customFormat="false" ht="21" hidden="false" customHeight="true" outlineLevel="0" collapsed="false">
      <c r="A50" s="233" t="s">
        <v>181</v>
      </c>
      <c r="B50" s="233" t="s">
        <v>182</v>
      </c>
      <c r="C50" s="233"/>
      <c r="D50" s="233"/>
      <c r="E50" s="492"/>
      <c r="F50" s="492" t="n">
        <v>1</v>
      </c>
      <c r="G50" s="233"/>
      <c r="H50" s="233"/>
      <c r="I50" s="233"/>
      <c r="J50" s="233"/>
      <c r="K50" s="233"/>
      <c r="L50" s="233"/>
      <c r="M50" s="493"/>
      <c r="N50" s="75"/>
      <c r="O50" s="75"/>
      <c r="P50" s="75"/>
      <c r="Q50" s="43"/>
      <c r="R50" s="425"/>
      <c r="S50" s="42"/>
      <c r="T50" s="426"/>
      <c r="U50" s="419" t="str">
        <f aca="false">INDEX(PT_DIFFERENTIATION_NUM_TER,MATCH(B50,PT_DIFFERENTIATION_TER_ID,0))</f>
        <v>.</v>
      </c>
      <c r="V50" s="427" t="s">
        <v>413</v>
      </c>
      <c r="W50" s="421"/>
      <c r="X50" s="423"/>
      <c r="Y50" s="423"/>
      <c r="Z50" s="423"/>
      <c r="AA50" s="423"/>
      <c r="AB50" s="423"/>
      <c r="AC50" s="423"/>
      <c r="AD50" s="423"/>
      <c r="AE50" s="423"/>
      <c r="AF50" s="423"/>
      <c r="AG50" s="423" t="str">
        <f aca="false">INDEX(PT_DIFFERENTIATION_TER,MATCH(B50,PT_DIFFERENTIATION_TER_ID,0))</f>
        <v/>
      </c>
      <c r="AH50" s="423"/>
      <c r="AI50" s="423"/>
      <c r="AJ50" s="423"/>
      <c r="AK50" s="423"/>
      <c r="AL50" s="423"/>
      <c r="AM50" s="423"/>
      <c r="AN50" s="423"/>
      <c r="AO50" s="423"/>
      <c r="AP50" s="423"/>
      <c r="AQ50" s="424" t="s">
        <v>414</v>
      </c>
      <c r="AS50" s="117"/>
      <c r="AT50" s="117" t="str">
        <f aca="false">IF(V50="","",V50)</f>
        <v>Территория действия тарифа</v>
      </c>
      <c r="AU50" s="117"/>
      <c r="AV50" s="117"/>
    </row>
    <row r="51" customFormat="false" ht="22.5" hidden="false" customHeight="true" outlineLevel="0" collapsed="false">
      <c r="A51" s="233" t="s">
        <v>181</v>
      </c>
      <c r="B51" s="233" t="s">
        <v>182</v>
      </c>
      <c r="C51" s="233" t="s">
        <v>183</v>
      </c>
      <c r="D51" s="233"/>
      <c r="E51" s="492"/>
      <c r="F51" s="492"/>
      <c r="G51" s="492" t="n">
        <v>1</v>
      </c>
      <c r="H51" s="233"/>
      <c r="I51" s="233"/>
      <c r="J51" s="233"/>
      <c r="K51" s="233"/>
      <c r="L51" s="233"/>
      <c r="M51" s="493"/>
      <c r="N51" s="75"/>
      <c r="O51" s="75"/>
      <c r="P51" s="75"/>
      <c r="Q51" s="428"/>
      <c r="R51" s="425"/>
      <c r="S51" s="42"/>
      <c r="T51" s="426"/>
      <c r="U51" s="419" t="str">
        <f aca="false">INDEX(PT_DIFFERENTIATION_NUM_CS,MATCH(C51,PT_DIFFERENTIATION_CS_ID,0))</f>
        <v>..</v>
      </c>
      <c r="V51" s="429" t="s">
        <v>415</v>
      </c>
      <c r="W51" s="421"/>
      <c r="X51" s="423"/>
      <c r="Y51" s="423"/>
      <c r="Z51" s="423"/>
      <c r="AA51" s="423"/>
      <c r="AB51" s="423"/>
      <c r="AC51" s="423"/>
      <c r="AD51" s="423"/>
      <c r="AE51" s="423"/>
      <c r="AF51" s="423"/>
      <c r="AG51" s="423" t="str">
        <f aca="false">INDEX(PT_DIFFERENTIATION_CS,MATCH(C51,PT_DIFFERENTIATION_CS_ID,0))</f>
        <v/>
      </c>
      <c r="AH51" s="423"/>
      <c r="AI51" s="423"/>
      <c r="AJ51" s="423"/>
      <c r="AK51" s="423"/>
      <c r="AL51" s="423"/>
      <c r="AM51" s="423"/>
      <c r="AN51" s="423"/>
      <c r="AO51" s="423"/>
      <c r="AP51" s="423"/>
      <c r="AQ51" s="424" t="s">
        <v>416</v>
      </c>
      <c r="AS51" s="117"/>
      <c r="AT51" s="117" t="str">
        <f aca="false">IF(V51="","",V51)</f>
        <v>Наименование системы теплоснабжения</v>
      </c>
      <c r="AU51" s="117"/>
      <c r="AV51" s="117"/>
    </row>
    <row r="52" customFormat="false" ht="21" hidden="false" customHeight="true" outlineLevel="0" collapsed="false">
      <c r="A52" s="233" t="s">
        <v>181</v>
      </c>
      <c r="B52" s="233" t="s">
        <v>182</v>
      </c>
      <c r="C52" s="233" t="s">
        <v>183</v>
      </c>
      <c r="D52" s="233" t="s">
        <v>184</v>
      </c>
      <c r="E52" s="492"/>
      <c r="F52" s="492"/>
      <c r="G52" s="492"/>
      <c r="H52" s="492" t="n">
        <v>1</v>
      </c>
      <c r="I52" s="233"/>
      <c r="J52" s="233"/>
      <c r="K52" s="233"/>
      <c r="L52" s="233"/>
      <c r="M52" s="493"/>
      <c r="N52" s="75"/>
      <c r="O52" s="75"/>
      <c r="P52" s="75"/>
      <c r="Q52" s="428"/>
      <c r="R52" s="425"/>
      <c r="S52" s="42"/>
      <c r="T52" s="426"/>
      <c r="U52" s="419" t="str">
        <f aca="false">INDEX(PT_DIFFERENTIATION_NUM_IST_TE,MATCH(D52,PT_DIFFERENTIATION_IST_TE_ID,0))</f>
        <v>...</v>
      </c>
      <c r="V52" s="430" t="s">
        <v>417</v>
      </c>
      <c r="W52" s="421"/>
      <c r="X52" s="423"/>
      <c r="Y52" s="423"/>
      <c r="Z52" s="423"/>
      <c r="AA52" s="423"/>
      <c r="AB52" s="423"/>
      <c r="AC52" s="423"/>
      <c r="AD52" s="423"/>
      <c r="AE52" s="423"/>
      <c r="AF52" s="423"/>
      <c r="AG52" s="423" t="str">
        <f aca="false">INDEX(PT_DIFFERENTIATION_IST_TE,MATCH(D52,PT_DIFFERENTIATION_IST_TE_ID,0))</f>
        <v/>
      </c>
      <c r="AH52" s="423"/>
      <c r="AI52" s="423"/>
      <c r="AJ52" s="423"/>
      <c r="AK52" s="423"/>
      <c r="AL52" s="423"/>
      <c r="AM52" s="423"/>
      <c r="AN52" s="423"/>
      <c r="AO52" s="423"/>
      <c r="AP52" s="423"/>
      <c r="AQ52" s="424" t="s">
        <v>418</v>
      </c>
      <c r="AS52" s="117"/>
      <c r="AT52" s="117" t="str">
        <f aca="false">IF(V52="","",V52)</f>
        <v>Источник тепловой энергии</v>
      </c>
      <c r="AU52" s="117"/>
      <c r="AV52" s="117"/>
    </row>
    <row r="53" s="47" customFormat="true" ht="12.8" hidden="false" customHeight="false" outlineLevel="0" collapsed="false">
      <c r="A53" s="494" t="s">
        <v>181</v>
      </c>
      <c r="B53" s="494" t="s">
        <v>182</v>
      </c>
      <c r="C53" s="494" t="s">
        <v>183</v>
      </c>
      <c r="D53" s="494" t="s">
        <v>184</v>
      </c>
      <c r="E53" s="492"/>
      <c r="F53" s="492"/>
      <c r="G53" s="492"/>
      <c r="H53" s="492"/>
      <c r="I53" s="145" t="str">
        <f aca="false">U52&amp;".1"</f>
        <v>....1</v>
      </c>
      <c r="J53" s="494"/>
      <c r="K53" s="494"/>
      <c r="L53" s="494"/>
      <c r="M53" s="495" t="s">
        <v>419</v>
      </c>
      <c r="N53" s="482"/>
      <c r="O53" s="482"/>
      <c r="P53" s="482"/>
      <c r="Q53" s="120" t="n">
        <v>1</v>
      </c>
      <c r="R53" s="120"/>
      <c r="S53" s="120"/>
      <c r="T53" s="432"/>
      <c r="U53" s="305"/>
      <c r="V53" s="502"/>
      <c r="W53" s="503"/>
      <c r="X53" s="504"/>
      <c r="Y53" s="504"/>
      <c r="Z53" s="504"/>
      <c r="AA53" s="504"/>
      <c r="AB53" s="504"/>
      <c r="AC53" s="504"/>
      <c r="AD53" s="504"/>
      <c r="AE53" s="504"/>
      <c r="AF53" s="504"/>
      <c r="AG53" s="504"/>
      <c r="AH53" s="504"/>
      <c r="AI53" s="504"/>
      <c r="AJ53" s="504"/>
      <c r="AK53" s="504"/>
      <c r="AL53" s="504"/>
      <c r="AM53" s="504"/>
      <c r="AN53" s="504"/>
      <c r="AO53" s="504"/>
      <c r="AP53" s="504"/>
      <c r="AQ53" s="505"/>
      <c r="AS53" s="117"/>
      <c r="AT53" s="117" t="str">
        <f aca="false">IF(V53="","",V53)</f>
        <v/>
      </c>
      <c r="AU53" s="117"/>
      <c r="AV53" s="117"/>
    </row>
    <row r="54" customFormat="false" ht="21" hidden="false" customHeight="true" outlineLevel="0" collapsed="false">
      <c r="A54" s="233" t="s">
        <v>181</v>
      </c>
      <c r="B54" s="233" t="s">
        <v>182</v>
      </c>
      <c r="C54" s="233" t="s">
        <v>183</v>
      </c>
      <c r="D54" s="233" t="s">
        <v>184</v>
      </c>
      <c r="E54" s="492"/>
      <c r="F54" s="492"/>
      <c r="G54" s="492"/>
      <c r="H54" s="492"/>
      <c r="I54" s="145"/>
      <c r="J54" s="145" t="str">
        <f aca="false">I53&amp;".1"</f>
        <v>....1.1</v>
      </c>
      <c r="K54" s="233"/>
      <c r="L54" s="233"/>
      <c r="M54" s="493" t="s">
        <v>422</v>
      </c>
      <c r="Q54" s="120"/>
      <c r="R54" s="120" t="n">
        <v>1</v>
      </c>
      <c r="S54" s="47"/>
      <c r="T54" s="435"/>
      <c r="U54" s="419" t="str">
        <f aca="false">$J54</f>
        <v>....1.1</v>
      </c>
      <c r="V54" s="436" t="s">
        <v>423</v>
      </c>
      <c r="W54" s="421"/>
      <c r="X54" s="434"/>
      <c r="Y54" s="434"/>
      <c r="Z54" s="434"/>
      <c r="AA54" s="434"/>
      <c r="AB54" s="434"/>
      <c r="AC54" s="434"/>
      <c r="AD54" s="434"/>
      <c r="AE54" s="434"/>
      <c r="AF54" s="434"/>
      <c r="AG54" s="434"/>
      <c r="AH54" s="434"/>
      <c r="AI54" s="434"/>
      <c r="AJ54" s="434"/>
      <c r="AK54" s="434"/>
      <c r="AL54" s="434"/>
      <c r="AM54" s="434"/>
      <c r="AN54" s="434"/>
      <c r="AO54" s="434"/>
      <c r="AP54" s="434"/>
      <c r="AQ54" s="424" t="s">
        <v>424</v>
      </c>
      <c r="AS54" s="117"/>
      <c r="AT54" s="117" t="str">
        <f aca="false">IF(V54="","",V54)</f>
        <v>Группа потребителей</v>
      </c>
      <c r="AU54" s="117"/>
      <c r="AV54" s="117"/>
    </row>
    <row r="55" customFormat="false" ht="21" hidden="false" customHeight="true" outlineLevel="0" collapsed="false">
      <c r="A55" s="233" t="s">
        <v>181</v>
      </c>
      <c r="B55" s="233" t="s">
        <v>182</v>
      </c>
      <c r="C55" s="233" t="s">
        <v>183</v>
      </c>
      <c r="D55" s="233" t="s">
        <v>184</v>
      </c>
      <c r="E55" s="492"/>
      <c r="F55" s="492"/>
      <c r="G55" s="492"/>
      <c r="H55" s="492"/>
      <c r="I55" s="145"/>
      <c r="J55" s="145"/>
      <c r="K55" s="133" t="str">
        <f aca="false">J54&amp;".1"</f>
        <v>....1.1.1</v>
      </c>
      <c r="L55" s="43"/>
      <c r="M55" s="493" t="s">
        <v>425</v>
      </c>
      <c r="Q55" s="120"/>
      <c r="R55" s="120"/>
      <c r="S55" s="47" t="n">
        <v>1</v>
      </c>
      <c r="T55" s="435"/>
      <c r="U55" s="419" t="str">
        <f aca="false">$K55</f>
        <v>....1.1.1</v>
      </c>
      <c r="V55" s="437"/>
      <c r="W55" s="421"/>
      <c r="X55" s="438"/>
      <c r="Y55" s="438"/>
      <c r="Z55" s="438"/>
      <c r="AA55" s="438"/>
      <c r="AB55" s="512"/>
      <c r="AC55" s="441"/>
      <c r="AD55" s="203" t="s">
        <v>63</v>
      </c>
      <c r="AE55" s="441"/>
      <c r="AF55" s="203" t="s">
        <v>63</v>
      </c>
      <c r="AG55" s="513"/>
      <c r="AH55" s="438"/>
      <c r="AI55" s="438"/>
      <c r="AJ55" s="438"/>
      <c r="AK55" s="440"/>
      <c r="AL55" s="441"/>
      <c r="AM55" s="203" t="s">
        <v>63</v>
      </c>
      <c r="AN55" s="441"/>
      <c r="AO55" s="203" t="s">
        <v>63</v>
      </c>
      <c r="AP55" s="489"/>
      <c r="AQ55" s="514" t="s">
        <v>465</v>
      </c>
      <c r="AR55" s="47" t="e">
        <f aca="false">strcheckdate(X57:AP57)</f>
        <v>#NAME?</v>
      </c>
      <c r="AS55" s="117"/>
      <c r="AT55" s="117" t="str">
        <f aca="false">IF(V55="","",V55)</f>
        <v/>
      </c>
      <c r="AU55" s="117"/>
      <c r="AV55" s="117"/>
    </row>
    <row r="56" customFormat="false" ht="11.25" hidden="false" customHeight="true" outlineLevel="0" collapsed="false">
      <c r="A56" s="233" t="s">
        <v>181</v>
      </c>
      <c r="B56" s="233" t="s">
        <v>182</v>
      </c>
      <c r="C56" s="233" t="s">
        <v>183</v>
      </c>
      <c r="D56" s="233" t="s">
        <v>184</v>
      </c>
      <c r="E56" s="492"/>
      <c r="F56" s="492"/>
      <c r="G56" s="492"/>
      <c r="H56" s="492"/>
      <c r="I56" s="145"/>
      <c r="J56" s="145"/>
      <c r="K56" s="145"/>
      <c r="L56" s="133" t="str">
        <f aca="false">K55&amp;".1"</f>
        <v>....1.1.1.1</v>
      </c>
      <c r="M56" s="493"/>
      <c r="Q56" s="120"/>
      <c r="R56" s="120"/>
      <c r="S56" s="47" t="n">
        <v>1</v>
      </c>
      <c r="T56" s="435"/>
      <c r="U56" s="419" t="str">
        <f aca="false">$L56</f>
        <v>....1.1.1.1</v>
      </c>
      <c r="V56" s="515"/>
      <c r="W56" s="421"/>
      <c r="X56" s="439"/>
      <c r="Y56" s="438"/>
      <c r="Z56" s="438"/>
      <c r="AA56" s="438"/>
      <c r="AB56" s="512"/>
      <c r="AC56" s="441"/>
      <c r="AD56" s="203"/>
      <c r="AE56" s="441"/>
      <c r="AF56" s="203"/>
      <c r="AG56" s="513"/>
      <c r="AH56" s="438"/>
      <c r="AI56" s="438"/>
      <c r="AJ56" s="438"/>
      <c r="AK56" s="440"/>
      <c r="AL56" s="441"/>
      <c r="AM56" s="203"/>
      <c r="AN56" s="441"/>
      <c r="AO56" s="203"/>
      <c r="AP56" s="489"/>
      <c r="AQ56" s="442" t="s">
        <v>466</v>
      </c>
      <c r="AR56" s="47" t="e">
        <f aca="false">strcheckdate(X58:AP58)</f>
        <v>#NAME?</v>
      </c>
      <c r="AS56" s="117"/>
      <c r="AT56" s="117" t="str">
        <f aca="false">IF(V56="","",V56)</f>
        <v/>
      </c>
      <c r="AU56" s="117"/>
      <c r="AV56" s="117"/>
    </row>
    <row r="57" customFormat="false" ht="12.8" hidden="false" customHeight="false" outlineLevel="0" collapsed="false">
      <c r="A57" s="233" t="s">
        <v>181</v>
      </c>
      <c r="B57" s="233" t="s">
        <v>182</v>
      </c>
      <c r="C57" s="233" t="s">
        <v>183</v>
      </c>
      <c r="D57" s="233" t="s">
        <v>184</v>
      </c>
      <c r="E57" s="492"/>
      <c r="F57" s="492"/>
      <c r="G57" s="492"/>
      <c r="H57" s="492"/>
      <c r="I57" s="145"/>
      <c r="J57" s="145"/>
      <c r="K57" s="145"/>
      <c r="L57" s="133"/>
      <c r="M57" s="493"/>
      <c r="Q57" s="120"/>
      <c r="R57" s="120"/>
      <c r="S57" s="47"/>
      <c r="T57" s="435"/>
      <c r="U57" s="396"/>
      <c r="V57" s="421"/>
      <c r="W57" s="421"/>
      <c r="X57" s="439"/>
      <c r="Y57" s="439"/>
      <c r="Z57" s="439"/>
      <c r="AA57" s="439"/>
      <c r="AB57" s="516" t="str">
        <f aca="false">AC55&amp;"-"&amp;AE55</f>
        <v>-</v>
      </c>
      <c r="AC57" s="441"/>
      <c r="AD57" s="203"/>
      <c r="AE57" s="441"/>
      <c r="AF57" s="203"/>
      <c r="AG57" s="517"/>
      <c r="AH57" s="439"/>
      <c r="AI57" s="439"/>
      <c r="AJ57" s="439"/>
      <c r="AK57" s="443" t="str">
        <f aca="false">AL55&amp;"-"&amp;AN55</f>
        <v>-</v>
      </c>
      <c r="AL57" s="441"/>
      <c r="AM57" s="203"/>
      <c r="AN57" s="441"/>
      <c r="AO57" s="203"/>
      <c r="AP57" s="490"/>
      <c r="AQ57" s="442"/>
      <c r="AS57" s="117"/>
      <c r="AT57" s="117" t="str">
        <f aca="false">IF(V57="","",V57)</f>
        <v/>
      </c>
      <c r="AU57" s="117"/>
      <c r="AV57" s="117"/>
    </row>
    <row r="58" customFormat="false" ht="11.25" hidden="false" customHeight="true" outlineLevel="0" collapsed="false">
      <c r="A58" s="233" t="s">
        <v>181</v>
      </c>
      <c r="B58" s="233" t="s">
        <v>182</v>
      </c>
      <c r="C58" s="233" t="s">
        <v>183</v>
      </c>
      <c r="D58" s="233" t="s">
        <v>184</v>
      </c>
      <c r="E58" s="492"/>
      <c r="F58" s="492"/>
      <c r="G58" s="492"/>
      <c r="H58" s="492"/>
      <c r="I58" s="145"/>
      <c r="J58" s="145"/>
      <c r="K58" s="133"/>
      <c r="L58" s="233"/>
      <c r="M58" s="493"/>
      <c r="Q58" s="120"/>
      <c r="R58" s="120"/>
      <c r="S58" s="120"/>
      <c r="T58" s="432"/>
      <c r="U58" s="444"/>
      <c r="V58" s="445" t="s">
        <v>467</v>
      </c>
      <c r="W58" s="193"/>
      <c r="X58" s="193"/>
      <c r="Y58" s="193"/>
      <c r="Z58" s="193"/>
      <c r="AA58" s="193"/>
      <c r="AB58" s="193"/>
      <c r="AC58" s="441"/>
      <c r="AD58" s="203"/>
      <c r="AE58" s="441"/>
      <c r="AF58" s="203"/>
      <c r="AG58" s="193"/>
      <c r="AH58" s="193"/>
      <c r="AI58" s="193"/>
      <c r="AJ58" s="193"/>
      <c r="AK58" s="193"/>
      <c r="AL58" s="441"/>
      <c r="AM58" s="203"/>
      <c r="AN58" s="441"/>
      <c r="AO58" s="203"/>
      <c r="AP58" s="446"/>
      <c r="AQ58" s="442"/>
      <c r="AS58" s="117"/>
      <c r="AT58" s="117" t="str">
        <f aca="false">IF(V58="","",V58)</f>
        <v>Добавить наименование поставщика</v>
      </c>
      <c r="AU58" s="117"/>
      <c r="AV58" s="117"/>
    </row>
    <row r="59" customFormat="false" ht="11.25" hidden="false" customHeight="true" outlineLevel="0" collapsed="false">
      <c r="A59" s="233" t="s">
        <v>181</v>
      </c>
      <c r="B59" s="233" t="s">
        <v>182</v>
      </c>
      <c r="C59" s="233" t="s">
        <v>183</v>
      </c>
      <c r="D59" s="233" t="s">
        <v>184</v>
      </c>
      <c r="E59" s="492"/>
      <c r="F59" s="492"/>
      <c r="G59" s="492"/>
      <c r="H59" s="492"/>
      <c r="I59" s="145"/>
      <c r="J59" s="145"/>
      <c r="K59" s="233"/>
      <c r="L59" s="233"/>
      <c r="M59" s="493"/>
      <c r="Q59" s="120"/>
      <c r="R59" s="120"/>
      <c r="S59" s="120"/>
      <c r="T59" s="432"/>
      <c r="U59" s="444"/>
      <c r="V59" s="447" t="s">
        <v>427</v>
      </c>
      <c r="W59" s="193"/>
      <c r="X59" s="193"/>
      <c r="Y59" s="193"/>
      <c r="Z59" s="193"/>
      <c r="AA59" s="193"/>
      <c r="AB59" s="193"/>
      <c r="AC59" s="522"/>
      <c r="AD59" s="522"/>
      <c r="AE59" s="522"/>
      <c r="AF59" s="522"/>
      <c r="AG59" s="193"/>
      <c r="AH59" s="193"/>
      <c r="AI59" s="193"/>
      <c r="AJ59" s="193"/>
      <c r="AK59" s="193"/>
      <c r="AL59" s="193"/>
      <c r="AM59" s="193"/>
      <c r="AN59" s="193"/>
      <c r="AO59" s="193"/>
      <c r="AP59" s="446"/>
      <c r="AQ59" s="442"/>
      <c r="AS59" s="117"/>
      <c r="AT59" s="117" t="str">
        <f aca="false">IF(V59="","",V59)</f>
        <v>Добавить вид теплоносителя (параметры теплоносителя)</v>
      </c>
      <c r="AU59" s="117"/>
      <c r="AV59" s="117"/>
    </row>
    <row r="60" customFormat="false" ht="11.25" hidden="false" customHeight="true" outlineLevel="0" collapsed="false">
      <c r="A60" s="233" t="s">
        <v>181</v>
      </c>
      <c r="B60" s="233" t="s">
        <v>182</v>
      </c>
      <c r="C60" s="233" t="s">
        <v>183</v>
      </c>
      <c r="D60" s="233" t="s">
        <v>184</v>
      </c>
      <c r="E60" s="492"/>
      <c r="F60" s="492"/>
      <c r="G60" s="492"/>
      <c r="H60" s="492"/>
      <c r="I60" s="145"/>
      <c r="J60" s="233"/>
      <c r="K60" s="233"/>
      <c r="L60" s="233"/>
      <c r="M60" s="493"/>
      <c r="Q60" s="120"/>
      <c r="R60" s="120"/>
      <c r="S60" s="120"/>
      <c r="T60" s="432"/>
      <c r="U60" s="444"/>
      <c r="V60" s="451" t="s">
        <v>428</v>
      </c>
      <c r="W60" s="193"/>
      <c r="X60" s="193"/>
      <c r="Y60" s="193"/>
      <c r="Z60" s="193"/>
      <c r="AA60" s="193"/>
      <c r="AB60" s="193"/>
      <c r="AC60" s="193"/>
      <c r="AD60" s="193"/>
      <c r="AE60" s="193"/>
      <c r="AF60" s="448"/>
      <c r="AG60" s="193"/>
      <c r="AH60" s="193"/>
      <c r="AI60" s="193"/>
      <c r="AJ60" s="193"/>
      <c r="AK60" s="193"/>
      <c r="AL60" s="193"/>
      <c r="AM60" s="193"/>
      <c r="AN60" s="193"/>
      <c r="AO60" s="448"/>
      <c r="AP60" s="193"/>
      <c r="AQ60" s="449"/>
      <c r="AS60" s="117"/>
      <c r="AT60" s="117" t="str">
        <f aca="false">IF(V60="","",V60)</f>
        <v>Добавить группу потребителей</v>
      </c>
      <c r="AU60" s="117"/>
      <c r="AV60" s="117"/>
    </row>
    <row r="61" customFormat="false" ht="12.8" hidden="false" customHeight="false" outlineLevel="0" collapsed="false">
      <c r="A61" s="233" t="s">
        <v>181</v>
      </c>
      <c r="B61" s="233" t="s">
        <v>182</v>
      </c>
      <c r="C61" s="233" t="s">
        <v>183</v>
      </c>
      <c r="D61" s="233" t="s">
        <v>184</v>
      </c>
      <c r="E61" s="492"/>
      <c r="F61" s="492"/>
      <c r="G61" s="492"/>
      <c r="H61" s="492"/>
      <c r="I61" s="233"/>
      <c r="J61" s="233"/>
      <c r="K61" s="233"/>
      <c r="L61" s="233"/>
      <c r="M61" s="493"/>
      <c r="N61" s="75"/>
      <c r="O61" s="75"/>
      <c r="P61" s="42"/>
      <c r="Q61" s="131"/>
      <c r="R61" s="450"/>
      <c r="S61" s="418"/>
      <c r="T61" s="131"/>
      <c r="U61" s="506"/>
      <c r="V61" s="507"/>
      <c r="W61" s="508"/>
      <c r="X61" s="508"/>
      <c r="Y61" s="508"/>
      <c r="Z61" s="508"/>
      <c r="AA61" s="508"/>
      <c r="AB61" s="508"/>
      <c r="AC61" s="508"/>
      <c r="AD61" s="508"/>
      <c r="AE61" s="508"/>
      <c r="AF61" s="508"/>
      <c r="AG61" s="508"/>
      <c r="AH61" s="508"/>
      <c r="AI61" s="508"/>
      <c r="AJ61" s="508"/>
      <c r="AK61" s="508"/>
      <c r="AL61" s="508"/>
      <c r="AM61" s="508"/>
      <c r="AN61" s="508"/>
      <c r="AO61" s="508"/>
      <c r="AP61" s="508"/>
      <c r="AQ61" s="509"/>
      <c r="AS61" s="117"/>
      <c r="AT61" s="117" t="str">
        <f aca="false">IF(V61="","",V61)</f>
        <v/>
      </c>
      <c r="AU61" s="117"/>
      <c r="AV61" s="117"/>
    </row>
    <row r="62" s="47" customFormat="true" ht="12.8" hidden="false" customHeight="false" outlineLevel="0" collapsed="false">
      <c r="A62" s="494" t="s">
        <v>181</v>
      </c>
      <c r="B62" s="494" t="s">
        <v>182</v>
      </c>
      <c r="C62" s="494" t="s">
        <v>183</v>
      </c>
      <c r="D62" s="494"/>
      <c r="E62" s="492"/>
      <c r="F62" s="492"/>
      <c r="G62" s="492"/>
      <c r="H62" s="494"/>
      <c r="I62" s="494"/>
      <c r="J62" s="494"/>
      <c r="K62" s="494"/>
      <c r="L62" s="494"/>
      <c r="M62" s="495"/>
      <c r="N62" s="496"/>
      <c r="O62" s="496"/>
      <c r="P62" s="119"/>
      <c r="Q62" s="155"/>
      <c r="R62" s="452"/>
      <c r="S62" s="155"/>
      <c r="T62" s="155"/>
      <c r="U62" s="457"/>
      <c r="V62" s="460" t="s">
        <v>430</v>
      </c>
      <c r="W62" s="459"/>
      <c r="X62" s="459"/>
      <c r="Y62" s="459"/>
      <c r="Z62" s="459"/>
      <c r="AA62" s="459"/>
      <c r="AB62" s="459"/>
      <c r="AC62" s="459"/>
      <c r="AD62" s="459"/>
      <c r="AE62" s="459"/>
      <c r="AF62" s="459"/>
      <c r="AG62" s="459"/>
      <c r="AH62" s="459"/>
      <c r="AI62" s="459"/>
      <c r="AJ62" s="459"/>
      <c r="AK62" s="459"/>
      <c r="AL62" s="459"/>
      <c r="AM62" s="459"/>
      <c r="AN62" s="459"/>
      <c r="AO62" s="459"/>
      <c r="AP62" s="459"/>
      <c r="AQ62" s="459"/>
      <c r="AS62" s="117"/>
      <c r="AT62" s="117" t="str">
        <f aca="false">IF(V62="","",V62)</f>
        <v>Добавить источник для дифференциации</v>
      </c>
      <c r="AU62" s="117"/>
      <c r="AV62" s="117"/>
    </row>
    <row r="63" s="47" customFormat="true" ht="12.8" hidden="false" customHeight="false" outlineLevel="0" collapsed="false">
      <c r="A63" s="494" t="s">
        <v>181</v>
      </c>
      <c r="B63" s="494" t="s">
        <v>182</v>
      </c>
      <c r="C63" s="494"/>
      <c r="D63" s="494"/>
      <c r="E63" s="492"/>
      <c r="F63" s="492"/>
      <c r="G63" s="494"/>
      <c r="H63" s="494"/>
      <c r="I63" s="494"/>
      <c r="J63" s="494"/>
      <c r="K63" s="494"/>
      <c r="L63" s="494"/>
      <c r="M63" s="495"/>
      <c r="N63" s="497"/>
      <c r="O63" s="497"/>
      <c r="P63" s="119"/>
      <c r="Q63" s="155"/>
      <c r="R63" s="452"/>
      <c r="S63" s="155"/>
      <c r="T63" s="155"/>
      <c r="U63" s="457"/>
      <c r="V63" s="460" t="s">
        <v>261</v>
      </c>
      <c r="W63" s="459"/>
      <c r="X63" s="459"/>
      <c r="Y63" s="459"/>
      <c r="Z63" s="459"/>
      <c r="AA63" s="459"/>
      <c r="AB63" s="459"/>
      <c r="AC63" s="459"/>
      <c r="AD63" s="459"/>
      <c r="AE63" s="459"/>
      <c r="AF63" s="459"/>
      <c r="AG63" s="459"/>
      <c r="AH63" s="459"/>
      <c r="AI63" s="459"/>
      <c r="AJ63" s="459"/>
      <c r="AK63" s="459"/>
      <c r="AL63" s="459"/>
      <c r="AM63" s="459"/>
      <c r="AN63" s="459"/>
      <c r="AO63" s="459"/>
      <c r="AP63" s="459"/>
      <c r="AQ63" s="459"/>
      <c r="AS63" s="117"/>
      <c r="AT63" s="117" t="str">
        <f aca="false">IF(V63="","",V63)</f>
        <v>Добавить централизованную систему для дифференциации</v>
      </c>
      <c r="AU63" s="117"/>
      <c r="AV63" s="117"/>
    </row>
    <row r="64" s="47" customFormat="true" ht="12.8" hidden="false" customHeight="false" outlineLevel="0" collapsed="false">
      <c r="A64" s="494" t="s">
        <v>181</v>
      </c>
      <c r="B64" s="494"/>
      <c r="C64" s="494"/>
      <c r="D64" s="494"/>
      <c r="E64" s="492"/>
      <c r="F64" s="494"/>
      <c r="G64" s="494"/>
      <c r="H64" s="494"/>
      <c r="I64" s="494"/>
      <c r="J64" s="494"/>
      <c r="K64" s="494"/>
      <c r="L64" s="494"/>
      <c r="M64" s="495"/>
      <c r="N64" s="497"/>
      <c r="O64" s="497"/>
      <c r="P64" s="119"/>
      <c r="Q64" s="155"/>
      <c r="R64" s="452"/>
      <c r="S64" s="155"/>
      <c r="T64" s="155"/>
      <c r="U64" s="457"/>
      <c r="V64" s="460" t="s">
        <v>268</v>
      </c>
      <c r="W64" s="459"/>
      <c r="X64" s="459"/>
      <c r="Y64" s="459"/>
      <c r="Z64" s="459"/>
      <c r="AA64" s="459"/>
      <c r="AB64" s="459"/>
      <c r="AC64" s="459"/>
      <c r="AD64" s="459"/>
      <c r="AE64" s="459"/>
      <c r="AF64" s="459"/>
      <c r="AG64" s="459"/>
      <c r="AH64" s="459"/>
      <c r="AI64" s="459"/>
      <c r="AJ64" s="459"/>
      <c r="AK64" s="459"/>
      <c r="AL64" s="459"/>
      <c r="AM64" s="459"/>
      <c r="AN64" s="459"/>
      <c r="AO64" s="459"/>
      <c r="AP64" s="459"/>
      <c r="AQ64" s="459"/>
      <c r="AS64" s="117"/>
      <c r="AT64" s="117" t="str">
        <f aca="false">IF(V64="","",V64)</f>
        <v>Добавить территорию для дифференциации</v>
      </c>
      <c r="AU64" s="117"/>
      <c r="AV64" s="117"/>
    </row>
    <row r="65" s="47" customFormat="true" ht="5.25" hidden="false" customHeight="true" outlineLevel="0" collapsed="false">
      <c r="A65" s="494"/>
      <c r="B65" s="494"/>
      <c r="C65" s="494"/>
      <c r="D65" s="494"/>
      <c r="E65" s="494"/>
      <c r="F65" s="494"/>
      <c r="G65" s="494"/>
      <c r="H65" s="494"/>
      <c r="I65" s="494"/>
      <c r="J65" s="494"/>
      <c r="K65" s="494"/>
      <c r="L65" s="494"/>
      <c r="M65" s="495"/>
      <c r="N65" s="497"/>
      <c r="O65" s="497"/>
      <c r="P65" s="119"/>
      <c r="Q65" s="155"/>
      <c r="R65" s="452"/>
      <c r="S65" s="155"/>
      <c r="T65" s="155"/>
      <c r="U65" s="457"/>
      <c r="V65" s="460" t="s">
        <v>269</v>
      </c>
      <c r="W65" s="459"/>
      <c r="X65" s="459"/>
      <c r="Y65" s="459"/>
      <c r="Z65" s="459"/>
      <c r="AA65" s="459"/>
      <c r="AB65" s="459"/>
      <c r="AC65" s="459"/>
      <c r="AD65" s="459"/>
      <c r="AE65" s="459"/>
      <c r="AF65" s="459"/>
      <c r="AG65" s="459"/>
      <c r="AH65" s="459"/>
      <c r="AI65" s="459"/>
      <c r="AJ65" s="459"/>
      <c r="AK65" s="459"/>
      <c r="AL65" s="459"/>
      <c r="AM65" s="459"/>
      <c r="AN65" s="459"/>
      <c r="AO65" s="459"/>
      <c r="AP65" s="459"/>
      <c r="AQ65" s="459"/>
      <c r="AS65" s="117"/>
      <c r="AT65" s="117" t="str">
        <f aca="false">IF(V65="","",V65)</f>
        <v>Добавить наименование тарифа</v>
      </c>
      <c r="AU65" s="117"/>
      <c r="AV65" s="117"/>
    </row>
    <row r="66" customFormat="false" ht="11.25" hidden="false" customHeight="true" outlineLevel="0" collapsed="false">
      <c r="N66" s="42"/>
      <c r="O66" s="42"/>
      <c r="P66" s="42"/>
      <c r="Q66" s="42"/>
      <c r="R66" s="42"/>
      <c r="S66" s="42"/>
      <c r="T66" s="42"/>
      <c r="U66" s="42"/>
      <c r="AR66" s="42"/>
      <c r="AS66" s="42"/>
      <c r="AT66" s="42"/>
      <c r="AU66" s="42"/>
      <c r="AV66" s="42"/>
    </row>
    <row r="67" customFormat="false" ht="33.75" hidden="false" customHeight="true" outlineLevel="0" collapsed="false">
      <c r="P67" s="42"/>
      <c r="U67" s="412"/>
      <c r="V67" s="491"/>
      <c r="W67" s="491"/>
      <c r="X67" s="491"/>
      <c r="Y67" s="491"/>
      <c r="Z67" s="491"/>
      <c r="AA67" s="491"/>
      <c r="AB67" s="491"/>
      <c r="AC67" s="491"/>
      <c r="AD67" s="491"/>
      <c r="AE67" s="491"/>
      <c r="AF67" s="491"/>
      <c r="AG67" s="491"/>
      <c r="AH67" s="491"/>
      <c r="AI67" s="491"/>
      <c r="AJ67" s="491"/>
      <c r="AK67" s="491"/>
      <c r="AL67" s="491"/>
      <c r="AM67" s="491"/>
      <c r="AN67" s="491"/>
      <c r="AO67" s="491"/>
      <c r="AP67" s="491"/>
      <c r="AQ67" s="491"/>
    </row>
    <row r="68" customFormat="false" ht="19.5" hidden="false" customHeight="true" outlineLevel="0" collapsed="false">
      <c r="P68" s="42"/>
      <c r="V68" s="491"/>
      <c r="W68" s="491"/>
      <c r="X68" s="491"/>
      <c r="Y68" s="491"/>
      <c r="Z68" s="491"/>
      <c r="AA68" s="491"/>
      <c r="AB68" s="491"/>
      <c r="AC68" s="491"/>
      <c r="AD68" s="491"/>
      <c r="AE68" s="491"/>
      <c r="AF68" s="491"/>
      <c r="AG68" s="491"/>
      <c r="AH68" s="491"/>
      <c r="AI68" s="491"/>
      <c r="AJ68" s="491"/>
      <c r="AK68" s="491"/>
      <c r="AL68" s="491"/>
      <c r="AM68" s="491"/>
      <c r="AN68" s="491"/>
      <c r="AO68" s="491"/>
      <c r="AP68" s="491"/>
      <c r="AQ68" s="491"/>
    </row>
    <row r="69" customFormat="false" ht="14.25" hidden="false" customHeight="true" outlineLevel="0" collapsed="false">
      <c r="P69" s="42"/>
    </row>
    <row r="70" customFormat="false" ht="27" hidden="false" customHeight="true" outlineLevel="0" collapsed="false">
      <c r="P70" s="42"/>
      <c r="V70" s="491"/>
      <c r="W70" s="491"/>
      <c r="X70" s="491"/>
      <c r="Y70" s="491"/>
      <c r="Z70" s="491"/>
      <c r="AA70" s="491"/>
      <c r="AB70" s="491"/>
      <c r="AC70" s="491"/>
      <c r="AD70" s="491"/>
      <c r="AE70" s="491"/>
      <c r="AF70" s="491"/>
      <c r="AG70" s="491"/>
      <c r="AH70" s="491"/>
      <c r="AI70" s="491"/>
      <c r="AJ70" s="491"/>
      <c r="AK70" s="491"/>
      <c r="AL70" s="491"/>
      <c r="AM70" s="491"/>
      <c r="AN70" s="491"/>
      <c r="AO70" s="491"/>
      <c r="AP70" s="491"/>
      <c r="AQ70" s="491"/>
    </row>
    <row r="71" customFormat="false" ht="18" hidden="false" customHeight="true" outlineLevel="0" collapsed="false">
      <c r="P71" s="42"/>
      <c r="V71" s="491"/>
      <c r="W71" s="491"/>
      <c r="X71" s="491"/>
      <c r="Y71" s="491"/>
      <c r="Z71" s="491"/>
      <c r="AA71" s="491"/>
      <c r="AB71" s="491"/>
      <c r="AC71" s="491"/>
      <c r="AD71" s="491"/>
      <c r="AE71" s="491"/>
      <c r="AF71" s="491"/>
      <c r="AG71" s="491"/>
      <c r="AH71" s="491"/>
      <c r="AI71" s="491"/>
      <c r="AJ71" s="491"/>
      <c r="AK71" s="491"/>
      <c r="AL71" s="491"/>
      <c r="AM71" s="491"/>
      <c r="AN71" s="491"/>
      <c r="AO71" s="491"/>
      <c r="AP71" s="491"/>
      <c r="AQ71" s="491"/>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2:AZ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T62" activeCellId="0" sqref="T62"/>
    </sheetView>
  </sheetViews>
  <sheetFormatPr defaultColWidth="10.57421875" defaultRowHeight="14.25" zeroHeight="false" outlineLevelRow="0" outlineLevelCol="0"/>
  <cols>
    <col collapsed="false" customWidth="false" hidden="false" outlineLevel="0" max="1" min="1" style="45" width="10.57"/>
    <col collapsed="false" customWidth="true" hidden="false" outlineLevel="0" max="2" min="2" style="45" width="11"/>
    <col collapsed="false" customWidth="false" hidden="false" outlineLevel="0" max="3" min="3" style="45" width="10.57"/>
    <col collapsed="false" customWidth="true" hidden="false" outlineLevel="0" max="4" min="4" style="45" width="11.85"/>
    <col collapsed="false" customWidth="true" hidden="false" outlineLevel="0" max="5" min="5" style="45" width="10"/>
    <col collapsed="false" customWidth="true" hidden="false" outlineLevel="0" max="6" min="6" style="45" width="8.71"/>
    <col collapsed="false" customWidth="true" hidden="false" outlineLevel="0" max="7" min="7" style="45" width="7.57"/>
    <col collapsed="false" customWidth="true" hidden="false" outlineLevel="0" max="8" min="8" style="45" width="11.42"/>
    <col collapsed="false" customWidth="true" hidden="false" outlineLevel="0" max="9" min="9" style="45" width="12"/>
    <col collapsed="false" customWidth="true" hidden="false" outlineLevel="0" max="10" min="10" style="45" width="9.85"/>
    <col collapsed="false" customWidth="true" hidden="false" outlineLevel="0" max="11" min="11" style="45" width="11.42"/>
    <col collapsed="false" customWidth="true" hidden="false" outlineLevel="0" max="12" min="12" style="44" width="19.14"/>
    <col collapsed="false" customWidth="true" hidden="false" outlineLevel="0" max="14" min="13" style="51" width="12.28"/>
    <col collapsed="false" customWidth="true" hidden="false" outlineLevel="0" max="15" min="15" style="51" width="23.42"/>
    <col collapsed="false" customWidth="true" hidden="false" outlineLevel="0" max="16" min="16" style="51" width="3.71"/>
    <col collapsed="false" customWidth="true" hidden="false" outlineLevel="0" max="17" min="17" style="466" width="3.71"/>
    <col collapsed="false" customWidth="true" hidden="false" outlineLevel="0" max="18" min="18" style="414" width="3.71"/>
    <col collapsed="false" customWidth="true" hidden="false" outlineLevel="0" max="19" min="19" style="75" width="12.71"/>
    <col collapsed="false" customWidth="true" hidden="false" outlineLevel="0" max="20" min="20" style="42" width="32"/>
    <col collapsed="false" customWidth="true" hidden="false" outlineLevel="0" max="21" min="21" style="42" width="0.14"/>
    <col collapsed="false" customWidth="true" hidden="false" outlineLevel="0" max="23" min="22" style="42" width="21.71"/>
    <col collapsed="false" customWidth="true" hidden="false" outlineLevel="0" max="24" min="24" style="42" width="11.71"/>
    <col collapsed="false" customWidth="true" hidden="false" outlineLevel="0" max="25" min="25" style="42" width="3.71"/>
    <col collapsed="false" customWidth="true" hidden="false" outlineLevel="0" max="26" min="26" style="42" width="11.71"/>
    <col collapsed="false" customWidth="true" hidden="false" outlineLevel="0" max="27" min="27" style="42" width="8.57"/>
    <col collapsed="false" customWidth="true" hidden="false" outlineLevel="0" max="28" min="28" style="42" width="5.42"/>
    <col collapsed="false" customWidth="true" hidden="false" outlineLevel="0" max="30" min="29" style="42" width="3.71"/>
    <col collapsed="false" customWidth="true" hidden="false" outlineLevel="0" max="31" min="31" style="42" width="24.71"/>
    <col collapsed="false" customWidth="true" hidden="false" outlineLevel="0" max="34" min="32" style="42" width="3.71"/>
    <col collapsed="false" customWidth="true" hidden="false" outlineLevel="0" max="35" min="35" style="42" width="24.71"/>
    <col collapsed="false" customWidth="true" hidden="false" outlineLevel="0" max="38" min="36" style="42" width="3.71"/>
    <col collapsed="false" customWidth="true" hidden="false" outlineLevel="0" max="39" min="39" style="42" width="18.85"/>
    <col collapsed="false" customWidth="true" hidden="false" outlineLevel="0" max="41" min="40" style="42" width="21.71"/>
    <col collapsed="false" customWidth="true" hidden="false" outlineLevel="0" max="42" min="42" style="42" width="11.71"/>
    <col collapsed="false" customWidth="true" hidden="false" outlineLevel="0" max="43" min="43" style="42" width="3.71"/>
    <col collapsed="false" customWidth="true" hidden="false" outlineLevel="0" max="44" min="44" style="42" width="11.71"/>
    <col collapsed="false" customWidth="true" hidden="false" outlineLevel="0" max="45" min="45" style="42" width="8.57"/>
    <col collapsed="false" customWidth="true" hidden="false" outlineLevel="0" max="46" min="46" style="42" width="4.71"/>
    <col collapsed="false" customWidth="true" hidden="false" outlineLevel="0" max="47" min="47" style="42" width="115.71"/>
    <col collapsed="false" customWidth="false" hidden="false" outlineLevel="0" max="49" min="48" style="47" width="10.57"/>
    <col collapsed="false" customWidth="true" hidden="false" outlineLevel="0" max="50" min="50" style="47" width="11.14"/>
    <col collapsed="false" customWidth="false" hidden="false" outlineLevel="0" max="52" min="51" style="47" width="10.57"/>
  </cols>
  <sheetData>
    <row r="2" customFormat="false" ht="21" hidden="false" customHeight="true" outlineLevel="0" collapsed="false">
      <c r="A2" s="415"/>
      <c r="B2" s="415"/>
      <c r="C2" s="415"/>
      <c r="D2" s="415"/>
      <c r="E2" s="416" t="n">
        <v>1</v>
      </c>
      <c r="F2" s="415"/>
      <c r="G2" s="415"/>
      <c r="H2" s="415"/>
      <c r="I2" s="415"/>
      <c r="J2" s="415"/>
      <c r="K2" s="415"/>
      <c r="L2" s="417"/>
      <c r="M2" s="40"/>
      <c r="N2" s="40"/>
      <c r="O2" s="40"/>
      <c r="Q2" s="54"/>
      <c r="R2" s="418"/>
      <c r="S2" s="419" t="e">
        <f aca="false">INDEX(PT_DIFFERENTIATION_NUM_NTAR,MATCH(A2,PT_DIFFERENTIATION_NTAR_ID,0))</f>
        <v>#N/A</v>
      </c>
      <c r="T2" s="420" t="s">
        <v>130</v>
      </c>
      <c r="U2" s="421"/>
      <c r="V2" s="523"/>
      <c r="W2" s="523"/>
      <c r="X2" s="523"/>
      <c r="Y2" s="523"/>
      <c r="Z2" s="523"/>
      <c r="AA2" s="523"/>
      <c r="AB2" s="423" t="e">
        <f aca="false">INDEX(PT_DIFFERENTIATION_NTAR,MATCH(A2,PT_DIFFERENTIATION_NTAR_ID,0))</f>
        <v>#N/A</v>
      </c>
      <c r="AC2" s="423"/>
      <c r="AD2" s="423"/>
      <c r="AE2" s="423"/>
      <c r="AF2" s="423"/>
      <c r="AG2" s="423"/>
      <c r="AH2" s="423"/>
      <c r="AI2" s="423"/>
      <c r="AJ2" s="423"/>
      <c r="AK2" s="423"/>
      <c r="AL2" s="423"/>
      <c r="AM2" s="423"/>
      <c r="AN2" s="423"/>
      <c r="AO2" s="423"/>
      <c r="AP2" s="423"/>
      <c r="AQ2" s="423"/>
      <c r="AR2" s="423"/>
      <c r="AS2" s="423"/>
      <c r="AT2" s="423"/>
      <c r="AU2" s="424" t="s">
        <v>412</v>
      </c>
      <c r="AW2" s="117"/>
      <c r="AX2" s="117" t="str">
        <f aca="false">IF(T2="","",T2)</f>
        <v>Наименование тарифа</v>
      </c>
      <c r="AY2" s="117"/>
      <c r="AZ2" s="117"/>
    </row>
    <row r="3" customFormat="false" ht="21" hidden="false" customHeight="true" outlineLevel="0" collapsed="false">
      <c r="A3" s="415"/>
      <c r="B3" s="415"/>
      <c r="C3" s="415"/>
      <c r="D3" s="415"/>
      <c r="E3" s="416"/>
      <c r="F3" s="416" t="n">
        <v>1</v>
      </c>
      <c r="G3" s="415"/>
      <c r="H3" s="415"/>
      <c r="I3" s="415"/>
      <c r="J3" s="415"/>
      <c r="K3" s="415"/>
      <c r="L3" s="417"/>
      <c r="M3" s="40"/>
      <c r="N3" s="40"/>
      <c r="O3" s="40"/>
      <c r="P3" s="44"/>
      <c r="Q3" s="524"/>
      <c r="R3" s="426"/>
      <c r="S3" s="419" t="e">
        <f aca="false">INDEX(PT_DIFFERENTIATION_NUM_TER,MATCH(B3,PT_DIFFERENTIATION_TER_ID,0))</f>
        <v>#N/A</v>
      </c>
      <c r="T3" s="427" t="s">
        <v>413</v>
      </c>
      <c r="U3" s="421"/>
      <c r="V3" s="523"/>
      <c r="W3" s="523"/>
      <c r="X3" s="523"/>
      <c r="Y3" s="523"/>
      <c r="Z3" s="523"/>
      <c r="AA3" s="523"/>
      <c r="AB3" s="423" t="e">
        <f aca="false">INDEX(PT_DIFFERENTIATION_TER,MATCH(B3,PT_DIFFERENTIATION_TER_ID,0))</f>
        <v>#N/A</v>
      </c>
      <c r="AC3" s="423"/>
      <c r="AD3" s="423"/>
      <c r="AE3" s="423"/>
      <c r="AF3" s="423"/>
      <c r="AG3" s="423"/>
      <c r="AH3" s="423"/>
      <c r="AI3" s="423"/>
      <c r="AJ3" s="423"/>
      <c r="AK3" s="423"/>
      <c r="AL3" s="423"/>
      <c r="AM3" s="423"/>
      <c r="AN3" s="423"/>
      <c r="AO3" s="423"/>
      <c r="AP3" s="423"/>
      <c r="AQ3" s="423"/>
      <c r="AR3" s="423"/>
      <c r="AS3" s="423"/>
      <c r="AT3" s="423"/>
      <c r="AU3" s="424" t="s">
        <v>414</v>
      </c>
      <c r="AW3" s="117"/>
      <c r="AX3" s="117" t="str">
        <f aca="false">IF(T3="","",T3)</f>
        <v>Территория действия тарифа</v>
      </c>
      <c r="AY3" s="117"/>
      <c r="AZ3" s="117"/>
    </row>
    <row r="4" customFormat="false" ht="22.5" hidden="false" customHeight="true" outlineLevel="0" collapsed="false">
      <c r="A4" s="415"/>
      <c r="B4" s="415"/>
      <c r="C4" s="415"/>
      <c r="D4" s="415"/>
      <c r="E4" s="416"/>
      <c r="F4" s="416"/>
      <c r="G4" s="416" t="n">
        <v>1</v>
      </c>
      <c r="H4" s="415"/>
      <c r="I4" s="415"/>
      <c r="J4" s="415"/>
      <c r="K4" s="415"/>
      <c r="L4" s="417"/>
      <c r="M4" s="40"/>
      <c r="N4" s="40"/>
      <c r="O4" s="40"/>
      <c r="P4" s="126"/>
      <c r="Q4" s="524"/>
      <c r="R4" s="426"/>
      <c r="S4" s="419" t="e">
        <f aca="false">INDEX(PT_DIFFERENTIATION_NUM_CS,MATCH(C4,PT_DIFFERENTIATION_CS_ID,0))</f>
        <v>#N/A</v>
      </c>
      <c r="T4" s="429" t="s">
        <v>415</v>
      </c>
      <c r="U4" s="421"/>
      <c r="V4" s="523"/>
      <c r="W4" s="523"/>
      <c r="X4" s="523"/>
      <c r="Y4" s="523"/>
      <c r="Z4" s="523"/>
      <c r="AA4" s="523"/>
      <c r="AB4" s="423" t="e">
        <f aca="false">INDEX(PT_DIFFERENTIATION_CS,MATCH(C4,PT_DIFFERENTIATION_CS_ID,0))</f>
        <v>#N/A</v>
      </c>
      <c r="AC4" s="423"/>
      <c r="AD4" s="423"/>
      <c r="AE4" s="423"/>
      <c r="AF4" s="423"/>
      <c r="AG4" s="423"/>
      <c r="AH4" s="423"/>
      <c r="AI4" s="423"/>
      <c r="AJ4" s="423"/>
      <c r="AK4" s="423"/>
      <c r="AL4" s="423"/>
      <c r="AM4" s="423"/>
      <c r="AN4" s="423"/>
      <c r="AO4" s="423"/>
      <c r="AP4" s="423"/>
      <c r="AQ4" s="423"/>
      <c r="AR4" s="423"/>
      <c r="AS4" s="423"/>
      <c r="AT4" s="423"/>
      <c r="AU4" s="424" t="s">
        <v>416</v>
      </c>
      <c r="AW4" s="117"/>
      <c r="AX4" s="117" t="str">
        <f aca="false">IF(T4="","",T4)</f>
        <v>Наименование системы теплоснабжения</v>
      </c>
      <c r="AY4" s="117"/>
      <c r="AZ4" s="117"/>
    </row>
    <row r="5" customFormat="false" ht="21" hidden="false" customHeight="true" outlineLevel="0" collapsed="false">
      <c r="A5" s="415"/>
      <c r="B5" s="415"/>
      <c r="C5" s="415"/>
      <c r="D5" s="415"/>
      <c r="E5" s="416"/>
      <c r="F5" s="416"/>
      <c r="G5" s="416"/>
      <c r="H5" s="416" t="n">
        <v>1</v>
      </c>
      <c r="I5" s="415"/>
      <c r="J5" s="415"/>
      <c r="K5" s="415"/>
      <c r="L5" s="417"/>
      <c r="M5" s="40"/>
      <c r="N5" s="40"/>
      <c r="O5" s="40"/>
      <c r="P5" s="126"/>
      <c r="Q5" s="524"/>
      <c r="R5" s="426"/>
      <c r="S5" s="419" t="e">
        <f aca="false">INDEX(PT_DIFFERENTIATION_NUM_IST_TE,MATCH(D5,PT_DIFFERENTIATION_IST_TE_ID,0))</f>
        <v>#N/A</v>
      </c>
      <c r="T5" s="430" t="s">
        <v>417</v>
      </c>
      <c r="U5" s="421"/>
      <c r="V5" s="523"/>
      <c r="W5" s="523"/>
      <c r="X5" s="523"/>
      <c r="Y5" s="523"/>
      <c r="Z5" s="523"/>
      <c r="AA5" s="523"/>
      <c r="AB5" s="423" t="e">
        <f aca="false">INDEX(PT_DIFFERENTIATION_IST_TE,MATCH(D5,PT_DIFFERENTIATION_IST_TE_ID,0))</f>
        <v>#N/A</v>
      </c>
      <c r="AC5" s="423"/>
      <c r="AD5" s="423"/>
      <c r="AE5" s="423"/>
      <c r="AF5" s="423"/>
      <c r="AG5" s="423"/>
      <c r="AH5" s="423"/>
      <c r="AI5" s="423"/>
      <c r="AJ5" s="423"/>
      <c r="AK5" s="423"/>
      <c r="AL5" s="423"/>
      <c r="AM5" s="423"/>
      <c r="AN5" s="423"/>
      <c r="AO5" s="423"/>
      <c r="AP5" s="423"/>
      <c r="AQ5" s="423"/>
      <c r="AR5" s="423"/>
      <c r="AS5" s="423"/>
      <c r="AT5" s="423"/>
      <c r="AU5" s="424" t="s">
        <v>418</v>
      </c>
      <c r="AW5" s="117"/>
      <c r="AX5" s="117" t="str">
        <f aca="false">IF(T5="","",T5)</f>
        <v>Источник тепловой энергии</v>
      </c>
      <c r="AY5" s="117"/>
      <c r="AZ5" s="117"/>
    </row>
    <row r="6" s="47" customFormat="true" ht="12.8" hidden="false" customHeight="false" outlineLevel="0" collapsed="false">
      <c r="A6" s="121"/>
      <c r="B6" s="121"/>
      <c r="C6" s="121"/>
      <c r="D6" s="121"/>
      <c r="E6" s="416"/>
      <c r="F6" s="416"/>
      <c r="G6" s="416"/>
      <c r="H6" s="416"/>
      <c r="I6" s="431" t="e">
        <f aca="false">S5&amp;".1"</f>
        <v>#N/A</v>
      </c>
      <c r="J6" s="121"/>
      <c r="K6" s="121"/>
      <c r="L6" s="191" t="s">
        <v>419</v>
      </c>
      <c r="M6" s="510"/>
      <c r="N6" s="510"/>
      <c r="O6" s="510"/>
      <c r="P6" s="120" t="n">
        <v>1</v>
      </c>
      <c r="Q6" s="120"/>
      <c r="R6" s="432"/>
      <c r="S6" s="305"/>
      <c r="T6" s="502"/>
      <c r="U6" s="503"/>
      <c r="V6" s="525"/>
      <c r="W6" s="525"/>
      <c r="X6" s="525"/>
      <c r="Y6" s="525"/>
      <c r="Z6" s="525"/>
      <c r="AA6" s="525"/>
      <c r="AB6" s="504"/>
      <c r="AC6" s="504"/>
      <c r="AD6" s="504"/>
      <c r="AE6" s="504"/>
      <c r="AF6" s="504"/>
      <c r="AG6" s="504"/>
      <c r="AH6" s="504"/>
      <c r="AI6" s="504"/>
      <c r="AJ6" s="504"/>
      <c r="AK6" s="504"/>
      <c r="AL6" s="504"/>
      <c r="AM6" s="504"/>
      <c r="AN6" s="504"/>
      <c r="AO6" s="504"/>
      <c r="AP6" s="504"/>
      <c r="AQ6" s="504"/>
      <c r="AR6" s="504"/>
      <c r="AS6" s="504"/>
      <c r="AT6" s="504"/>
      <c r="AU6" s="505"/>
      <c r="AW6" s="117"/>
      <c r="AX6" s="117" t="str">
        <f aca="false">IF(T6="","",T6)</f>
        <v/>
      </c>
      <c r="AY6" s="117"/>
      <c r="AZ6" s="117"/>
    </row>
    <row r="7" s="47" customFormat="true" ht="12.8" hidden="false" customHeight="false" outlineLevel="0" collapsed="false">
      <c r="A7" s="121"/>
      <c r="B7" s="121"/>
      <c r="C7" s="121"/>
      <c r="D7" s="121"/>
      <c r="E7" s="416"/>
      <c r="F7" s="416"/>
      <c r="G7" s="416"/>
      <c r="H7" s="416"/>
      <c r="I7" s="431"/>
      <c r="J7" s="431" t="e">
        <f aca="false">S5&amp;".1"</f>
        <v>#N/A</v>
      </c>
      <c r="K7" s="121"/>
      <c r="L7" s="191"/>
      <c r="M7" s="510"/>
      <c r="N7" s="510"/>
      <c r="O7" s="510"/>
      <c r="P7" s="120"/>
      <c r="Q7" s="120" t="n">
        <v>1</v>
      </c>
      <c r="R7" s="435"/>
      <c r="S7" s="305"/>
      <c r="T7" s="526"/>
      <c r="U7" s="503"/>
      <c r="V7" s="525"/>
      <c r="W7" s="525"/>
      <c r="X7" s="525"/>
      <c r="Y7" s="525"/>
      <c r="Z7" s="525"/>
      <c r="AA7" s="525"/>
      <c r="AB7" s="504"/>
      <c r="AC7" s="504"/>
      <c r="AD7" s="504"/>
      <c r="AE7" s="504"/>
      <c r="AF7" s="504"/>
      <c r="AG7" s="504"/>
      <c r="AH7" s="504"/>
      <c r="AI7" s="504"/>
      <c r="AJ7" s="504"/>
      <c r="AK7" s="504"/>
      <c r="AL7" s="504"/>
      <c r="AM7" s="504"/>
      <c r="AN7" s="504"/>
      <c r="AO7" s="504"/>
      <c r="AP7" s="504"/>
      <c r="AQ7" s="504"/>
      <c r="AR7" s="504"/>
      <c r="AS7" s="504"/>
      <c r="AT7" s="504"/>
      <c r="AU7" s="505"/>
      <c r="AW7" s="117"/>
      <c r="AX7" s="117" t="str">
        <f aca="false">IF(T7="","",T7)</f>
        <v/>
      </c>
      <c r="AY7" s="117"/>
      <c r="AZ7" s="117"/>
    </row>
    <row r="8" customFormat="false" ht="21" hidden="false" customHeight="true" outlineLevel="0" collapsed="false">
      <c r="A8" s="415"/>
      <c r="B8" s="415"/>
      <c r="C8" s="415"/>
      <c r="D8" s="415"/>
      <c r="E8" s="416"/>
      <c r="F8" s="416"/>
      <c r="G8" s="416"/>
      <c r="H8" s="416"/>
      <c r="I8" s="431"/>
      <c r="J8" s="431"/>
      <c r="K8" s="431" t="e">
        <f aca="false">S5&amp;".1"</f>
        <v>#N/A</v>
      </c>
      <c r="L8" s="417"/>
      <c r="P8" s="120"/>
      <c r="Q8" s="120"/>
      <c r="R8" s="527" t="n">
        <v>1</v>
      </c>
      <c r="S8" s="419" t="e">
        <f aca="false">$K8</f>
        <v>#N/A</v>
      </c>
      <c r="T8" s="528"/>
      <c r="U8" s="421"/>
      <c r="V8" s="438"/>
      <c r="W8" s="440"/>
      <c r="X8" s="441"/>
      <c r="Y8" s="203" t="s">
        <v>63</v>
      </c>
      <c r="Z8" s="441"/>
      <c r="AA8" s="203" t="s">
        <v>63</v>
      </c>
      <c r="AB8" s="203" t="s">
        <v>53</v>
      </c>
      <c r="AC8" s="529"/>
      <c r="AD8" s="301" t="n">
        <v>1</v>
      </c>
      <c r="AE8" s="100"/>
      <c r="AF8" s="203" t="s">
        <v>53</v>
      </c>
      <c r="AG8" s="529"/>
      <c r="AH8" s="301" t="n">
        <v>1</v>
      </c>
      <c r="AI8" s="100"/>
      <c r="AJ8" s="203" t="s">
        <v>53</v>
      </c>
      <c r="AK8" s="530"/>
      <c r="AL8" s="301" t="n">
        <v>1</v>
      </c>
      <c r="AM8" s="104"/>
      <c r="AN8" s="438"/>
      <c r="AO8" s="440"/>
      <c r="AP8" s="441"/>
      <c r="AQ8" s="203" t="s">
        <v>63</v>
      </c>
      <c r="AR8" s="441"/>
      <c r="AS8" s="203" t="s">
        <v>63</v>
      </c>
      <c r="AT8" s="489"/>
      <c r="AU8" s="442" t="s">
        <v>477</v>
      </c>
      <c r="AV8" s="47" t="e">
        <f aca="false">strcheckdate(V11:AT11)</f>
        <v>#NAME?</v>
      </c>
      <c r="AW8" s="117"/>
      <c r="AX8" s="117" t="str">
        <f aca="false">IF(T8="","",T8)</f>
        <v/>
      </c>
      <c r="AY8" s="117"/>
      <c r="AZ8" s="117"/>
    </row>
    <row r="9" customFormat="false" ht="11.25" hidden="false" customHeight="true" outlineLevel="0" collapsed="false">
      <c r="A9" s="415"/>
      <c r="B9" s="415"/>
      <c r="C9" s="415"/>
      <c r="D9" s="415"/>
      <c r="E9" s="416"/>
      <c r="F9" s="416"/>
      <c r="G9" s="416"/>
      <c r="H9" s="416"/>
      <c r="I9" s="431"/>
      <c r="J9" s="431"/>
      <c r="K9" s="431"/>
      <c r="L9" s="417"/>
      <c r="P9" s="120"/>
      <c r="Q9" s="120"/>
      <c r="R9" s="527"/>
      <c r="S9" s="419"/>
      <c r="T9" s="528"/>
      <c r="U9" s="421"/>
      <c r="V9" s="519"/>
      <c r="W9" s="531"/>
      <c r="X9" s="441"/>
      <c r="Y9" s="203"/>
      <c r="Z9" s="441"/>
      <c r="AA9" s="203"/>
      <c r="AB9" s="203"/>
      <c r="AC9" s="529"/>
      <c r="AD9" s="301"/>
      <c r="AE9" s="100"/>
      <c r="AF9" s="203"/>
      <c r="AG9" s="529"/>
      <c r="AH9" s="301"/>
      <c r="AI9" s="100"/>
      <c r="AJ9" s="203"/>
      <c r="AK9" s="532"/>
      <c r="AL9" s="167"/>
      <c r="AM9" s="160" t="s">
        <v>478</v>
      </c>
      <c r="AN9" s="519"/>
      <c r="AO9" s="533"/>
      <c r="AP9" s="519"/>
      <c r="AQ9" s="519"/>
      <c r="AR9" s="519"/>
      <c r="AS9" s="519"/>
      <c r="AT9" s="534"/>
      <c r="AU9" s="442"/>
      <c r="AW9" s="117"/>
      <c r="AX9" s="117"/>
      <c r="AY9" s="117"/>
      <c r="AZ9" s="117"/>
    </row>
    <row r="10" customFormat="false" ht="11.25" hidden="false" customHeight="true" outlineLevel="0" collapsed="false">
      <c r="A10" s="415"/>
      <c r="B10" s="415"/>
      <c r="C10" s="415"/>
      <c r="D10" s="415"/>
      <c r="E10" s="416"/>
      <c r="F10" s="416"/>
      <c r="G10" s="416"/>
      <c r="H10" s="416"/>
      <c r="I10" s="431"/>
      <c r="J10" s="431"/>
      <c r="K10" s="431"/>
      <c r="L10" s="417"/>
      <c r="P10" s="120"/>
      <c r="Q10" s="120"/>
      <c r="R10" s="527"/>
      <c r="S10" s="419"/>
      <c r="T10" s="528"/>
      <c r="U10" s="421"/>
      <c r="V10" s="519"/>
      <c r="W10" s="531"/>
      <c r="X10" s="441"/>
      <c r="Y10" s="203"/>
      <c r="Z10" s="441"/>
      <c r="AA10" s="203"/>
      <c r="AB10" s="203"/>
      <c r="AC10" s="529"/>
      <c r="AD10" s="301"/>
      <c r="AE10" s="100"/>
      <c r="AF10" s="203"/>
      <c r="AG10" s="535"/>
      <c r="AH10" s="160"/>
      <c r="AI10" s="160" t="s">
        <v>479</v>
      </c>
      <c r="AJ10" s="519"/>
      <c r="AK10" s="519"/>
      <c r="AL10" s="519"/>
      <c r="AM10" s="519"/>
      <c r="AN10" s="519"/>
      <c r="AO10" s="533"/>
      <c r="AP10" s="519"/>
      <c r="AQ10" s="519"/>
      <c r="AR10" s="519"/>
      <c r="AS10" s="519"/>
      <c r="AT10" s="534"/>
      <c r="AU10" s="442"/>
      <c r="AW10" s="117"/>
      <c r="AX10" s="117"/>
      <c r="AY10" s="117"/>
      <c r="AZ10" s="117"/>
    </row>
    <row r="11" customFormat="false" ht="11.25" hidden="false" customHeight="true" outlineLevel="0" collapsed="false">
      <c r="A11" s="415"/>
      <c r="B11" s="415"/>
      <c r="C11" s="415"/>
      <c r="D11" s="415"/>
      <c r="E11" s="416"/>
      <c r="F11" s="416"/>
      <c r="G11" s="416"/>
      <c r="H11" s="416"/>
      <c r="I11" s="431"/>
      <c r="J11" s="431"/>
      <c r="K11" s="431"/>
      <c r="L11" s="417"/>
      <c r="P11" s="120"/>
      <c r="Q11" s="120"/>
      <c r="R11" s="527"/>
      <c r="S11" s="419"/>
      <c r="T11" s="528"/>
      <c r="U11" s="421"/>
      <c r="V11" s="519"/>
      <c r="W11" s="536" t="str">
        <f aca="false">X8&amp;"-"&amp;Z8</f>
        <v>-</v>
      </c>
      <c r="X11" s="441"/>
      <c r="Y11" s="203"/>
      <c r="Z11" s="441"/>
      <c r="AA11" s="203"/>
      <c r="AB11" s="203"/>
      <c r="AC11" s="537"/>
      <c r="AD11" s="538"/>
      <c r="AE11" s="160" t="s">
        <v>480</v>
      </c>
      <c r="AF11" s="519"/>
      <c r="AG11" s="519"/>
      <c r="AH11" s="519"/>
      <c r="AI11" s="519"/>
      <c r="AJ11" s="519"/>
      <c r="AK11" s="519"/>
      <c r="AL11" s="519"/>
      <c r="AM11" s="519"/>
      <c r="AN11" s="519"/>
      <c r="AO11" s="520" t="str">
        <f aca="false">AP8&amp;"-"&amp;AR8</f>
        <v>-</v>
      </c>
      <c r="AP11" s="519"/>
      <c r="AQ11" s="519"/>
      <c r="AR11" s="519"/>
      <c r="AS11" s="519"/>
      <c r="AT11" s="490"/>
      <c r="AU11" s="442"/>
      <c r="AW11" s="117"/>
      <c r="AX11" s="117" t="str">
        <f aca="false">IF(T11="","",T11)</f>
        <v/>
      </c>
      <c r="AY11" s="117"/>
      <c r="AZ11" s="117"/>
    </row>
    <row r="12" customFormat="false" ht="11.25" hidden="false" customHeight="true" outlineLevel="0" collapsed="false">
      <c r="A12" s="415"/>
      <c r="B12" s="415"/>
      <c r="C12" s="415"/>
      <c r="D12" s="415"/>
      <c r="E12" s="416"/>
      <c r="F12" s="416"/>
      <c r="G12" s="416"/>
      <c r="H12" s="416"/>
      <c r="I12" s="431"/>
      <c r="J12" s="431"/>
      <c r="K12" s="415"/>
      <c r="L12" s="417"/>
      <c r="P12" s="120"/>
      <c r="Q12" s="120"/>
      <c r="R12" s="432"/>
      <c r="S12" s="444"/>
      <c r="T12" s="447" t="s">
        <v>481</v>
      </c>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446"/>
      <c r="AU12" s="442"/>
      <c r="AW12" s="117"/>
      <c r="AX12" s="117" t="str">
        <f aca="false">IF(T12="","",T12)</f>
        <v>Добавить строку</v>
      </c>
      <c r="AY12" s="117"/>
      <c r="AZ12" s="117"/>
    </row>
    <row r="13" s="47" customFormat="true" ht="12.8" hidden="false" customHeight="false" outlineLevel="0" collapsed="false">
      <c r="A13" s="121"/>
      <c r="B13" s="121"/>
      <c r="C13" s="121"/>
      <c r="D13" s="121"/>
      <c r="E13" s="416"/>
      <c r="F13" s="416"/>
      <c r="G13" s="416"/>
      <c r="H13" s="416"/>
      <c r="I13" s="431"/>
      <c r="J13" s="121"/>
      <c r="K13" s="121"/>
      <c r="L13" s="191"/>
      <c r="M13" s="510"/>
      <c r="N13" s="510"/>
      <c r="O13" s="510"/>
      <c r="P13" s="120"/>
      <c r="Q13" s="120"/>
      <c r="R13" s="432"/>
      <c r="S13" s="506"/>
      <c r="T13" s="507"/>
      <c r="U13" s="508"/>
      <c r="V13" s="508"/>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c r="AT13" s="508"/>
      <c r="AU13" s="509"/>
      <c r="AW13" s="117"/>
      <c r="AX13" s="117" t="str">
        <f aca="false">IF(T13="","",T13)</f>
        <v/>
      </c>
      <c r="AY13" s="117"/>
      <c r="AZ13" s="117"/>
    </row>
    <row r="14" s="47" customFormat="true" ht="12.8" hidden="false" customHeight="false" outlineLevel="0" collapsed="false">
      <c r="A14" s="121"/>
      <c r="B14" s="121"/>
      <c r="C14" s="121"/>
      <c r="D14" s="121"/>
      <c r="E14" s="416"/>
      <c r="F14" s="416"/>
      <c r="G14" s="416"/>
      <c r="H14" s="416"/>
      <c r="I14" s="121"/>
      <c r="J14" s="121"/>
      <c r="K14" s="121"/>
      <c r="L14" s="191"/>
      <c r="M14" s="46"/>
      <c r="N14" s="46"/>
      <c r="P14" s="155"/>
      <c r="Q14" s="452"/>
      <c r="R14" s="539"/>
      <c r="S14" s="506"/>
      <c r="T14" s="507"/>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9"/>
      <c r="AW14" s="117"/>
      <c r="AX14" s="117" t="str">
        <f aca="false">IF(T14="","",T14)</f>
        <v/>
      </c>
      <c r="AY14" s="117"/>
      <c r="AZ14" s="117"/>
    </row>
    <row r="15" s="47" customFormat="true" ht="12.8" hidden="false" customHeight="false" outlineLevel="0" collapsed="false">
      <c r="A15" s="121"/>
      <c r="B15" s="121"/>
      <c r="C15" s="121"/>
      <c r="D15" s="121"/>
      <c r="E15" s="416"/>
      <c r="F15" s="416"/>
      <c r="G15" s="416"/>
      <c r="H15" s="121"/>
      <c r="I15" s="121"/>
      <c r="J15" s="121"/>
      <c r="K15" s="121"/>
      <c r="L15" s="191"/>
      <c r="M15" s="46"/>
      <c r="N15" s="46"/>
      <c r="P15" s="155"/>
      <c r="Q15" s="452"/>
      <c r="R15" s="155"/>
      <c r="S15" s="457"/>
      <c r="T15" s="460" t="s">
        <v>430</v>
      </c>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W15" s="117"/>
      <c r="AX15" s="117" t="str">
        <f aca="false">IF(T15="","",T15)</f>
        <v>Добавить источник для дифференциации</v>
      </c>
      <c r="AY15" s="117"/>
      <c r="AZ15" s="117"/>
    </row>
    <row r="16" s="47" customFormat="true" ht="12.8" hidden="false" customHeight="false" outlineLevel="0" collapsed="false">
      <c r="A16" s="121"/>
      <c r="B16" s="121"/>
      <c r="C16" s="121"/>
      <c r="D16" s="121"/>
      <c r="E16" s="416"/>
      <c r="F16" s="416"/>
      <c r="G16" s="121"/>
      <c r="H16" s="121"/>
      <c r="I16" s="121"/>
      <c r="J16" s="121"/>
      <c r="K16" s="121"/>
      <c r="L16" s="191"/>
      <c r="M16" s="456"/>
      <c r="N16" s="456"/>
      <c r="P16" s="155"/>
      <c r="Q16" s="452"/>
      <c r="R16" s="155"/>
      <c r="S16" s="457"/>
      <c r="T16" s="460" t="s">
        <v>261</v>
      </c>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W16" s="117"/>
      <c r="AX16" s="117" t="str">
        <f aca="false">IF(T16="","",T16)</f>
        <v>Добавить централизованную систему для дифференциации</v>
      </c>
      <c r="AY16" s="117"/>
      <c r="AZ16" s="117"/>
    </row>
    <row r="17" s="47" customFormat="true" ht="12.8" hidden="false" customHeight="false" outlineLevel="0" collapsed="false">
      <c r="A17" s="121"/>
      <c r="B17" s="121"/>
      <c r="C17" s="121"/>
      <c r="D17" s="121"/>
      <c r="E17" s="416"/>
      <c r="F17" s="121"/>
      <c r="G17" s="121"/>
      <c r="H17" s="121"/>
      <c r="I17" s="121"/>
      <c r="J17" s="121"/>
      <c r="K17" s="121"/>
      <c r="L17" s="191"/>
      <c r="M17" s="456"/>
      <c r="N17" s="456"/>
      <c r="P17" s="155"/>
      <c r="Q17" s="452"/>
      <c r="R17" s="155"/>
      <c r="S17" s="457"/>
      <c r="T17" s="460" t="s">
        <v>268</v>
      </c>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W17" s="117"/>
      <c r="AX17" s="117" t="str">
        <f aca="false">IF(T17="","",T17)</f>
        <v>Добавить территорию для дифференциации</v>
      </c>
      <c r="AY17" s="117"/>
      <c r="AZ17" s="117"/>
    </row>
    <row r="19" customFormat="false" ht="14.25" hidden="false" customHeight="true" outlineLevel="0" collapsed="false">
      <c r="AB19" s="459" t="s">
        <v>53</v>
      </c>
      <c r="AC19" s="540"/>
      <c r="AD19" s="459" t="n">
        <v>1</v>
      </c>
      <c r="AE19" s="541"/>
      <c r="AF19" s="459" t="s">
        <v>53</v>
      </c>
      <c r="AG19" s="540"/>
      <c r="AH19" s="459" t="n">
        <v>1</v>
      </c>
      <c r="AI19" s="541"/>
      <c r="AJ19" s="459" t="s">
        <v>53</v>
      </c>
      <c r="AK19" s="542"/>
      <c r="AL19" s="459" t="n">
        <v>1</v>
      </c>
      <c r="AM19" s="543"/>
      <c r="AN19" s="544"/>
      <c r="AO19" s="545"/>
      <c r="AP19" s="546"/>
      <c r="AQ19" s="248" t="s">
        <v>63</v>
      </c>
      <c r="AR19" s="546"/>
      <c r="AS19" s="248" t="s">
        <v>63</v>
      </c>
    </row>
    <row r="20" customFormat="false" ht="14.25" hidden="false" customHeight="true" outlineLevel="0" collapsed="false">
      <c r="AV20" s="119"/>
      <c r="AW20" s="119"/>
      <c r="AX20" s="119"/>
      <c r="AY20" s="119"/>
      <c r="AZ20" s="119"/>
    </row>
    <row r="21" customFormat="false" ht="14.25" hidden="false" customHeight="true" outlineLevel="0" collapsed="false">
      <c r="O21" s="465" t="s">
        <v>431</v>
      </c>
      <c r="X21" s="498"/>
      <c r="Z21" s="498"/>
      <c r="AP21" s="498"/>
      <c r="AR21" s="498"/>
      <c r="AV21" s="119"/>
      <c r="AW21" s="119"/>
      <c r="AX21" s="119"/>
      <c r="AY21" s="119"/>
      <c r="AZ21" s="119"/>
    </row>
    <row r="22" customFormat="false" ht="14.25" hidden="false" customHeight="true" outlineLevel="0" collapsed="false">
      <c r="AV22" s="119"/>
      <c r="AW22" s="119"/>
      <c r="AX22" s="119"/>
      <c r="AY22" s="119"/>
      <c r="AZ22" s="119"/>
    </row>
    <row r="23" s="547" customFormat="true" ht="14.25" hidden="false" customHeight="true" outlineLevel="0" collapsed="false">
      <c r="M23" s="548"/>
      <c r="N23" s="548"/>
      <c r="O23" s="547" t="s">
        <v>432</v>
      </c>
      <c r="P23" s="548"/>
      <c r="Q23" s="549"/>
      <c r="R23" s="549"/>
      <c r="Y23" s="547" t="s">
        <v>434</v>
      </c>
      <c r="AA23" s="547" t="s">
        <v>435</v>
      </c>
      <c r="AB23" s="547" t="s">
        <v>482</v>
      </c>
      <c r="AE23" s="547" t="s">
        <v>483</v>
      </c>
      <c r="AF23" s="547" t="s">
        <v>482</v>
      </c>
      <c r="AI23" s="547" t="s">
        <v>484</v>
      </c>
      <c r="AJ23" s="547" t="s">
        <v>482</v>
      </c>
      <c r="AM23" s="547" t="s">
        <v>485</v>
      </c>
      <c r="AQ23" s="547" t="s">
        <v>434</v>
      </c>
      <c r="AS23" s="547" t="s">
        <v>435</v>
      </c>
      <c r="AV23" s="550"/>
      <c r="AW23" s="550"/>
      <c r="AX23" s="550"/>
      <c r="AY23" s="550"/>
      <c r="AZ23" s="550"/>
    </row>
    <row r="24" customFormat="false" ht="14.25" hidden="false" customHeight="true" outlineLevel="0" collapsed="false">
      <c r="O24" s="417"/>
      <c r="AV24" s="119"/>
      <c r="AW24" s="119"/>
      <c r="AX24" s="119"/>
      <c r="AY24" s="119"/>
      <c r="AZ24" s="119"/>
    </row>
    <row r="25" customFormat="false" ht="14.25" hidden="false" customHeight="true" outlineLevel="0" collapsed="false">
      <c r="O25" s="417"/>
      <c r="AV25" s="119"/>
      <c r="AW25" s="119"/>
      <c r="AX25" s="119"/>
      <c r="AY25" s="119"/>
      <c r="AZ25" s="119"/>
    </row>
    <row r="26" customFormat="false" ht="14.25" hidden="false" customHeight="true" outlineLevel="0" collapsed="false">
      <c r="Q26" s="551"/>
      <c r="R26" s="467"/>
      <c r="S26" s="468"/>
      <c r="T26" s="79"/>
      <c r="U26" s="79"/>
    </row>
    <row r="27" customFormat="false" ht="26.25" hidden="false" customHeight="true" outlineLevel="0" collapsed="false">
      <c r="Q27" s="551"/>
      <c r="R27" s="467"/>
      <c r="S27" s="212" t="str">
        <f aca="false">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4"/>
    </row>
    <row r="28" customFormat="false" ht="14.25" hidden="false" customHeight="true" outlineLevel="0" collapsed="false">
      <c r="Q28" s="551"/>
      <c r="R28" s="467"/>
      <c r="S28" s="265" t="str">
        <f aca="false">IF(org=0,"Не определено",org)</f>
        <v>ООО "Газпром теплоэнерго Ярославль"</v>
      </c>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14"/>
    </row>
    <row r="29" customFormat="false" ht="14.25" hidden="false" customHeight="true" outlineLevel="0" collapsed="false">
      <c r="Q29" s="551"/>
      <c r="R29" s="467"/>
      <c r="S29" s="468"/>
      <c r="T29" s="79"/>
      <c r="U29" s="7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row>
    <row r="30" s="174" customFormat="true" ht="25.5" hidden="false" customHeight="true" outlineLevel="0" collapsed="false">
      <c r="A30" s="139"/>
      <c r="B30" s="139"/>
      <c r="C30" s="139"/>
      <c r="D30" s="139"/>
      <c r="E30" s="139"/>
      <c r="F30" s="139"/>
      <c r="G30" s="139"/>
      <c r="H30" s="139"/>
      <c r="I30" s="139"/>
      <c r="J30" s="139"/>
      <c r="K30" s="139"/>
      <c r="L30" s="417"/>
      <c r="M30" s="139"/>
      <c r="N30" s="139"/>
      <c r="O30" s="139"/>
      <c r="P30" s="139"/>
      <c r="Q30" s="139"/>
      <c r="S30" s="470" t="s">
        <v>37</v>
      </c>
      <c r="T30" s="470"/>
      <c r="U30" s="471"/>
      <c r="V30" s="472" t="str">
        <f aca="false">IF(TITLE_NAME_OR_PR_CHANGE="",IF(TITLE_NAME_OR_PR="","",TITLE_NAME_OR_PR),TITLE_NAME_OR_PR_CHANGE)</f>
        <v>Министерство тарифного регулирования Ярославской области</v>
      </c>
      <c r="W30" s="472"/>
      <c r="X30" s="472"/>
      <c r="Y30" s="472"/>
      <c r="Z30" s="472"/>
      <c r="AA30" s="42"/>
      <c r="AB30" s="472" t="str">
        <f aca="false">IF(TITLE_NAME_OR_PR_CHANGE="",IF(TITLE_NAME_OR_PR="","",TITLE_NAME_OR_PR),TITLE_NAME_OR_PR_CHANGE)</f>
        <v>Министерство тарифного регулирования Ярославской области</v>
      </c>
      <c r="AC30" s="472"/>
      <c r="AD30" s="472"/>
      <c r="AE30" s="472"/>
      <c r="AF30" s="472"/>
      <c r="AG30" s="472"/>
      <c r="AH30" s="472"/>
      <c r="AI30" s="472"/>
      <c r="AJ30" s="472"/>
      <c r="AK30" s="472"/>
      <c r="AL30" s="472"/>
      <c r="AM30" s="472"/>
      <c r="AN30" s="472"/>
      <c r="AO30" s="472"/>
      <c r="AP30" s="472"/>
      <c r="AQ30" s="472"/>
      <c r="AR30" s="472"/>
      <c r="AS30" s="42"/>
      <c r="AT30" s="42"/>
      <c r="AU30" s="473"/>
      <c r="AV30" s="117"/>
      <c r="AW30" s="117"/>
      <c r="AX30" s="117"/>
      <c r="AY30" s="117"/>
      <c r="AZ30" s="117"/>
    </row>
    <row r="31" s="174" customFormat="true" ht="18.75" hidden="false" customHeight="true" outlineLevel="0" collapsed="false">
      <c r="A31" s="139"/>
      <c r="B31" s="139"/>
      <c r="C31" s="139"/>
      <c r="D31" s="139"/>
      <c r="E31" s="139"/>
      <c r="F31" s="139"/>
      <c r="G31" s="139"/>
      <c r="H31" s="139"/>
      <c r="I31" s="139"/>
      <c r="J31" s="139"/>
      <c r="K31" s="139"/>
      <c r="L31" s="417"/>
      <c r="M31" s="139"/>
      <c r="N31" s="139"/>
      <c r="O31" s="139"/>
      <c r="P31" s="139"/>
      <c r="Q31" s="139"/>
      <c r="S31" s="470" t="s">
        <v>437</v>
      </c>
      <c r="T31" s="470"/>
      <c r="U31" s="471"/>
      <c r="V31" s="474" t="str">
        <f aca="false">IF(TITLE_DATE_PR_CHANGE="",IF(TITLE_DATE_PR="","",TITLE_DATE_PR),TITLE_DATE_PR_CHANGE)</f>
        <v>45279.46460648148</v>
      </c>
      <c r="W31" s="474"/>
      <c r="X31" s="474"/>
      <c r="Y31" s="474"/>
      <c r="Z31" s="474"/>
      <c r="AA31" s="42"/>
      <c r="AB31" s="474" t="str">
        <f aca="false">IF(TITLE_DATE_PR_CHANGE="",IF(TITLE_DATE_PR="","",TITLE_DATE_PR),TITLE_DATE_PR_CHANGE)</f>
        <v>45279.46460648148</v>
      </c>
      <c r="AC31" s="474"/>
      <c r="AD31" s="474"/>
      <c r="AE31" s="474"/>
      <c r="AF31" s="474"/>
      <c r="AG31" s="474"/>
      <c r="AH31" s="474"/>
      <c r="AI31" s="474"/>
      <c r="AJ31" s="474"/>
      <c r="AK31" s="474"/>
      <c r="AL31" s="474"/>
      <c r="AM31" s="474"/>
      <c r="AN31" s="474"/>
      <c r="AO31" s="474"/>
      <c r="AP31" s="474"/>
      <c r="AQ31" s="474"/>
      <c r="AR31" s="474"/>
      <c r="AS31" s="42"/>
      <c r="AT31" s="42"/>
      <c r="AU31" s="473"/>
      <c r="AV31" s="117"/>
      <c r="AW31" s="117"/>
      <c r="AX31" s="117"/>
      <c r="AY31" s="117"/>
      <c r="AZ31" s="117"/>
    </row>
    <row r="32" s="174" customFormat="true" ht="18.75" hidden="false" customHeight="true" outlineLevel="0" collapsed="false">
      <c r="A32" s="139"/>
      <c r="B32" s="139"/>
      <c r="C32" s="139"/>
      <c r="D32" s="139"/>
      <c r="E32" s="139"/>
      <c r="F32" s="139"/>
      <c r="G32" s="139"/>
      <c r="H32" s="139"/>
      <c r="I32" s="139"/>
      <c r="J32" s="139"/>
      <c r="K32" s="139"/>
      <c r="L32" s="417"/>
      <c r="M32" s="139"/>
      <c r="N32" s="139"/>
      <c r="O32" s="139"/>
      <c r="P32" s="139"/>
      <c r="Q32" s="139"/>
      <c r="S32" s="470" t="s">
        <v>438</v>
      </c>
      <c r="T32" s="470"/>
      <c r="U32" s="471"/>
      <c r="V32" s="472" t="str">
        <f aca="false">IF(TITLE_NUMBER_PR_CHANGE="",IF(TITLE_NUMBER_PR="","",TITLE_NUMBER_PR),TITLE_NUMBER_PR_CHANGE)</f>
        <v>403-гвс, 404-гвс, 406-гвс</v>
      </c>
      <c r="W32" s="472"/>
      <c r="X32" s="472"/>
      <c r="Y32" s="472"/>
      <c r="Z32" s="472"/>
      <c r="AA32" s="42"/>
      <c r="AB32" s="472" t="str">
        <f aca="false">IF(TITLE_NUMBER_PR_CHANGE="",IF(TITLE_NUMBER_PR="","",TITLE_NUMBER_PR),TITLE_NUMBER_PR_CHANGE)</f>
        <v>403-гвс, 404-гвс, 406-гвс</v>
      </c>
      <c r="AC32" s="472"/>
      <c r="AD32" s="472"/>
      <c r="AE32" s="472"/>
      <c r="AF32" s="472"/>
      <c r="AG32" s="472"/>
      <c r="AH32" s="472"/>
      <c r="AI32" s="472"/>
      <c r="AJ32" s="472"/>
      <c r="AK32" s="472"/>
      <c r="AL32" s="472"/>
      <c r="AM32" s="472"/>
      <c r="AN32" s="472"/>
      <c r="AO32" s="472"/>
      <c r="AP32" s="472"/>
      <c r="AQ32" s="472"/>
      <c r="AR32" s="472"/>
      <c r="AS32" s="42"/>
      <c r="AT32" s="42"/>
      <c r="AU32" s="473"/>
      <c r="AV32" s="117"/>
      <c r="AW32" s="117"/>
      <c r="AX32" s="117"/>
      <c r="AY32" s="117"/>
      <c r="AZ32" s="117"/>
    </row>
    <row r="33" s="174" customFormat="true" ht="18.75" hidden="false" customHeight="true" outlineLevel="0" collapsed="false">
      <c r="A33" s="139"/>
      <c r="B33" s="139"/>
      <c r="C33" s="139"/>
      <c r="D33" s="139"/>
      <c r="E33" s="139"/>
      <c r="F33" s="139"/>
      <c r="G33" s="139"/>
      <c r="H33" s="139"/>
      <c r="I33" s="139"/>
      <c r="J33" s="139"/>
      <c r="K33" s="139"/>
      <c r="L33" s="417"/>
      <c r="M33" s="139"/>
      <c r="N33" s="139"/>
      <c r="O33" s="139"/>
      <c r="P33" s="139"/>
      <c r="Q33" s="139"/>
      <c r="S33" s="470" t="s">
        <v>39</v>
      </c>
      <c r="T33" s="470"/>
      <c r="U33" s="471"/>
      <c r="V33" s="472" t="str">
        <f aca="false">IF(TITLE_IST_PUB_CHANGE="",IF(TITLE_IST_PUB="","",TITLE_IST_PUB),TITLE_IST_PUB_CHANGE)</f>
        <v>официальный интернет- портал правовой информации www.pravo.gov.ru</v>
      </c>
      <c r="W33" s="472"/>
      <c r="X33" s="472"/>
      <c r="Y33" s="472"/>
      <c r="Z33" s="472"/>
      <c r="AA33" s="42"/>
      <c r="AB33" s="472" t="str">
        <f aca="false">IF(TITLE_IST_PUB_CHANGE="",IF(TITLE_IST_PUB="","",TITLE_IST_PUB),TITLE_IST_PUB_CHANGE)</f>
        <v>официальный интернет- портал правовой информации www.pravo.gov.ru</v>
      </c>
      <c r="AC33" s="472"/>
      <c r="AD33" s="472"/>
      <c r="AE33" s="472"/>
      <c r="AF33" s="472"/>
      <c r="AG33" s="472"/>
      <c r="AH33" s="472"/>
      <c r="AI33" s="472"/>
      <c r="AJ33" s="472"/>
      <c r="AK33" s="472"/>
      <c r="AL33" s="472"/>
      <c r="AM33" s="472"/>
      <c r="AN33" s="472"/>
      <c r="AO33" s="472"/>
      <c r="AP33" s="472"/>
      <c r="AQ33" s="472"/>
      <c r="AR33" s="472"/>
      <c r="AS33" s="42"/>
      <c r="AT33" s="42"/>
      <c r="AU33" s="473"/>
      <c r="AV33" s="117"/>
      <c r="AW33" s="117"/>
      <c r="AX33" s="117"/>
      <c r="AY33" s="117"/>
      <c r="AZ33" s="117"/>
    </row>
    <row r="34" customFormat="false" ht="14.25" hidden="true" customHeight="true" outlineLevel="0" collapsed="false">
      <c r="Q34" s="551"/>
      <c r="R34" s="467"/>
      <c r="S34" s="468"/>
      <c r="T34" s="79"/>
      <c r="U34" s="79"/>
      <c r="V34" s="469"/>
      <c r="W34" s="469"/>
      <c r="X34" s="469"/>
      <c r="Y34" s="469"/>
      <c r="Z34" s="469"/>
      <c r="AA34" s="469"/>
      <c r="AB34" s="469"/>
      <c r="AC34" s="469"/>
      <c r="AD34" s="469"/>
      <c r="AE34" s="469"/>
      <c r="AF34" s="469"/>
      <c r="AG34" s="469"/>
      <c r="AH34" s="469"/>
      <c r="AI34" s="469"/>
      <c r="AJ34" s="469"/>
      <c r="AK34" s="469"/>
      <c r="AL34" s="469"/>
      <c r="AM34" s="469"/>
      <c r="AN34" s="469"/>
      <c r="AO34" s="469"/>
      <c r="AP34" s="469"/>
      <c r="AQ34" s="469"/>
      <c r="AR34" s="469"/>
      <c r="AS34" s="469"/>
    </row>
    <row r="35" s="174" customFormat="true" ht="18.75" hidden="true" customHeight="true" outlineLevel="0" collapsed="false">
      <c r="A35" s="139"/>
      <c r="B35" s="139"/>
      <c r="C35" s="139"/>
      <c r="D35" s="139"/>
      <c r="E35" s="139"/>
      <c r="F35" s="139"/>
      <c r="G35" s="139"/>
      <c r="H35" s="139"/>
      <c r="I35" s="139"/>
      <c r="J35" s="139"/>
      <c r="K35" s="139"/>
      <c r="L35" s="417"/>
      <c r="M35" s="139"/>
      <c r="N35" s="139"/>
      <c r="O35" s="139"/>
      <c r="P35" s="139"/>
      <c r="Q35" s="139"/>
      <c r="S35" s="470" t="s">
        <v>437</v>
      </c>
      <c r="T35" s="470"/>
      <c r="U35" s="471"/>
      <c r="V35" s="474" t="str">
        <f aca="false">IF(TITLE_DATE_PR_CHANGE="",IF(TITLE_DATE_PR="","",TITLE_DATE_PR),TITLE_DATE_PR_CHANGE)</f>
        <v>45279.46460648148</v>
      </c>
      <c r="W35" s="474"/>
      <c r="X35" s="474"/>
      <c r="Y35" s="474"/>
      <c r="Z35" s="474"/>
      <c r="AA35" s="42"/>
      <c r="AB35" s="474" t="str">
        <f aca="false">IF(TITLE_DATE_PR_CHANGE="",IF(TITLE_DATE_PR="","",TITLE_DATE_PR),TITLE_DATE_PR_CHANGE)</f>
        <v>45279.46460648148</v>
      </c>
      <c r="AC35" s="474"/>
      <c r="AD35" s="474"/>
      <c r="AE35" s="474"/>
      <c r="AF35" s="474"/>
      <c r="AG35" s="474"/>
      <c r="AH35" s="474"/>
      <c r="AI35" s="474"/>
      <c r="AJ35" s="474"/>
      <c r="AK35" s="474"/>
      <c r="AL35" s="474"/>
      <c r="AM35" s="474"/>
      <c r="AN35" s="474"/>
      <c r="AO35" s="474"/>
      <c r="AP35" s="474"/>
      <c r="AQ35" s="474"/>
      <c r="AR35" s="474"/>
      <c r="AS35" s="42"/>
      <c r="AT35" s="42"/>
      <c r="AU35" s="473"/>
      <c r="AV35" s="117"/>
      <c r="AW35" s="117"/>
      <c r="AX35" s="117"/>
      <c r="AY35" s="117"/>
      <c r="AZ35" s="117"/>
    </row>
    <row r="36" s="174" customFormat="true" ht="18" hidden="true" customHeight="true" outlineLevel="0" collapsed="false">
      <c r="A36" s="139"/>
      <c r="B36" s="139"/>
      <c r="C36" s="139"/>
      <c r="D36" s="139"/>
      <c r="E36" s="139"/>
      <c r="F36" s="139"/>
      <c r="G36" s="139"/>
      <c r="H36" s="139"/>
      <c r="I36" s="139"/>
      <c r="J36" s="139"/>
      <c r="K36" s="139"/>
      <c r="L36" s="417"/>
      <c r="M36" s="139"/>
      <c r="N36" s="139"/>
      <c r="O36" s="139"/>
      <c r="P36" s="139"/>
      <c r="Q36" s="139"/>
      <c r="S36" s="470" t="s">
        <v>438</v>
      </c>
      <c r="T36" s="470"/>
      <c r="U36" s="471"/>
      <c r="V36" s="472" t="str">
        <f aca="false">IF(TITLE_NUMBER_PR_CHANGE="",IF(TITLE_NUMBER_PR="","",TITLE_NUMBER_PR),TITLE_NUMBER_PR_CHANGE)</f>
        <v>403-гвс, 404-гвс, 406-гвс</v>
      </c>
      <c r="W36" s="472"/>
      <c r="X36" s="472"/>
      <c r="Y36" s="472"/>
      <c r="Z36" s="472"/>
      <c r="AA36" s="42"/>
      <c r="AB36" s="472" t="str">
        <f aca="false">IF(TITLE_NUMBER_PR_CHANGE="",IF(TITLE_NUMBER_PR="","",TITLE_NUMBER_PR),TITLE_NUMBER_PR_CHANGE)</f>
        <v>403-гвс, 404-гвс, 406-гвс</v>
      </c>
      <c r="AC36" s="472"/>
      <c r="AD36" s="472"/>
      <c r="AE36" s="472"/>
      <c r="AF36" s="472"/>
      <c r="AG36" s="472"/>
      <c r="AH36" s="472"/>
      <c r="AI36" s="472"/>
      <c r="AJ36" s="472"/>
      <c r="AK36" s="472"/>
      <c r="AL36" s="472"/>
      <c r="AM36" s="472"/>
      <c r="AN36" s="472"/>
      <c r="AO36" s="472"/>
      <c r="AP36" s="472"/>
      <c r="AQ36" s="472"/>
      <c r="AR36" s="472"/>
      <c r="AS36" s="42"/>
      <c r="AT36" s="42"/>
      <c r="AU36" s="473"/>
      <c r="AV36" s="117"/>
      <c r="AW36" s="117"/>
      <c r="AX36" s="117"/>
      <c r="AY36" s="117"/>
      <c r="AZ36" s="117"/>
    </row>
    <row r="37" s="174" customFormat="true" ht="0.75" hidden="false" customHeight="true" outlineLevel="0" collapsed="false">
      <c r="A37" s="139"/>
      <c r="B37" s="139"/>
      <c r="C37" s="139"/>
      <c r="D37" s="139"/>
      <c r="E37" s="139"/>
      <c r="F37" s="139"/>
      <c r="G37" s="139"/>
      <c r="H37" s="139"/>
      <c r="I37" s="139"/>
      <c r="J37" s="139"/>
      <c r="K37" s="139"/>
      <c r="L37" s="417"/>
      <c r="M37" s="139"/>
      <c r="N37" s="139"/>
      <c r="O37" s="139"/>
      <c r="P37" s="139"/>
      <c r="Q37" s="139"/>
      <c r="S37" s="42"/>
      <c r="T37" s="42"/>
      <c r="U37" s="127"/>
      <c r="V37" s="42"/>
      <c r="W37" s="42"/>
      <c r="X37" s="42"/>
      <c r="Y37" s="42"/>
      <c r="Z37" s="42"/>
      <c r="AA37" s="47" t="s">
        <v>441</v>
      </c>
      <c r="AB37" s="42"/>
      <c r="AC37" s="42"/>
      <c r="AD37" s="42"/>
      <c r="AE37" s="42"/>
      <c r="AF37" s="42"/>
      <c r="AG37" s="42"/>
      <c r="AH37" s="42"/>
      <c r="AI37" s="42"/>
      <c r="AJ37" s="42"/>
      <c r="AK37" s="42"/>
      <c r="AL37" s="42"/>
      <c r="AM37" s="42"/>
      <c r="AN37" s="42"/>
      <c r="AO37" s="42"/>
      <c r="AP37" s="42"/>
      <c r="AQ37" s="42"/>
      <c r="AR37" s="42"/>
      <c r="AS37" s="47" t="s">
        <v>441</v>
      </c>
      <c r="AV37" s="117"/>
      <c r="AW37" s="117"/>
      <c r="AX37" s="117"/>
      <c r="AY37" s="117"/>
      <c r="AZ37" s="117"/>
    </row>
    <row r="38" customFormat="false" ht="14.25" hidden="false" customHeight="true" outlineLevel="0" collapsed="false">
      <c r="Q38" s="551"/>
      <c r="R38" s="467"/>
      <c r="S38" s="468"/>
      <c r="T38" s="79"/>
      <c r="U38" s="475"/>
      <c r="V38" s="476"/>
      <c r="W38" s="476"/>
      <c r="X38" s="476"/>
      <c r="Y38" s="476"/>
      <c r="Z38" s="476"/>
      <c r="AA38" s="476"/>
      <c r="AB38" s="476"/>
      <c r="AC38" s="476"/>
      <c r="AD38" s="476"/>
      <c r="AE38" s="476"/>
      <c r="AF38" s="476"/>
      <c r="AG38" s="476"/>
      <c r="AH38" s="476"/>
      <c r="AI38" s="476"/>
      <c r="AJ38" s="476"/>
      <c r="AK38" s="476"/>
      <c r="AL38" s="476"/>
      <c r="AM38" s="476"/>
      <c r="AN38" s="476"/>
      <c r="AO38" s="476"/>
      <c r="AP38" s="476"/>
      <c r="AQ38" s="476"/>
      <c r="AR38" s="476"/>
      <c r="AS38" s="476"/>
    </row>
    <row r="39" customFormat="false" ht="14.25" hidden="false" customHeight="true" outlineLevel="0" collapsed="false">
      <c r="Q39" s="551"/>
      <c r="R39" s="467"/>
      <c r="S39" s="133" t="s">
        <v>316</v>
      </c>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t="s">
        <v>317</v>
      </c>
    </row>
    <row r="40" customFormat="false" ht="14.25" hidden="false" customHeight="true" outlineLevel="0" collapsed="false">
      <c r="Q40" s="551"/>
      <c r="R40" s="467"/>
      <c r="S40" s="419" t="s">
        <v>84</v>
      </c>
      <c r="T40" s="394" t="s">
        <v>486</v>
      </c>
      <c r="U40" s="478"/>
      <c r="V40" s="552"/>
      <c r="W40" s="552"/>
      <c r="X40" s="552"/>
      <c r="Y40" s="552"/>
      <c r="Z40" s="552"/>
      <c r="AA40" s="553" t="s">
        <v>444</v>
      </c>
      <c r="AB40" s="300" t="s">
        <v>487</v>
      </c>
      <c r="AC40" s="300"/>
      <c r="AD40" s="300"/>
      <c r="AE40" s="300"/>
      <c r="AF40" s="552" t="s">
        <v>488</v>
      </c>
      <c r="AG40" s="552"/>
      <c r="AH40" s="552"/>
      <c r="AI40" s="552"/>
      <c r="AJ40" s="300" t="s">
        <v>489</v>
      </c>
      <c r="AK40" s="300"/>
      <c r="AL40" s="300"/>
      <c r="AM40" s="300"/>
      <c r="AN40" s="554" t="s">
        <v>443</v>
      </c>
      <c r="AO40" s="554"/>
      <c r="AP40" s="554"/>
      <c r="AQ40" s="554"/>
      <c r="AR40" s="554"/>
      <c r="AS40" s="394" t="s">
        <v>444</v>
      </c>
      <c r="AT40" s="479" t="s">
        <v>446</v>
      </c>
      <c r="AU40" s="133"/>
    </row>
    <row r="41" customFormat="false" ht="33.75" hidden="false" customHeight="true" outlineLevel="0" collapsed="false">
      <c r="Q41" s="551"/>
      <c r="R41" s="467"/>
      <c r="S41" s="419"/>
      <c r="T41" s="394"/>
      <c r="U41" s="480"/>
      <c r="V41" s="133" t="s">
        <v>490</v>
      </c>
      <c r="W41" s="133"/>
      <c r="X41" s="133" t="s">
        <v>450</v>
      </c>
      <c r="Y41" s="133"/>
      <c r="Z41" s="133"/>
      <c r="AA41" s="553"/>
      <c r="AB41" s="300"/>
      <c r="AC41" s="300"/>
      <c r="AD41" s="300"/>
      <c r="AE41" s="300"/>
      <c r="AF41" s="552"/>
      <c r="AG41" s="552"/>
      <c r="AH41" s="552"/>
      <c r="AI41" s="552"/>
      <c r="AJ41" s="300"/>
      <c r="AK41" s="300"/>
      <c r="AL41" s="300"/>
      <c r="AM41" s="300"/>
      <c r="AN41" s="133" t="s">
        <v>491</v>
      </c>
      <c r="AO41" s="133"/>
      <c r="AP41" s="501" t="s">
        <v>450</v>
      </c>
      <c r="AQ41" s="501"/>
      <c r="AR41" s="501"/>
      <c r="AS41" s="394"/>
      <c r="AT41" s="479"/>
      <c r="AU41" s="133"/>
    </row>
    <row r="42" customFormat="false" ht="14.25" hidden="false" customHeight="true" outlineLevel="0" collapsed="false">
      <c r="Q42" s="551"/>
      <c r="R42" s="467"/>
      <c r="S42" s="419"/>
      <c r="T42" s="394"/>
      <c r="U42" s="480"/>
      <c r="V42" s="133"/>
      <c r="W42" s="133"/>
      <c r="X42" s="133"/>
      <c r="Y42" s="133"/>
      <c r="Z42" s="133"/>
      <c r="AA42" s="553"/>
      <c r="AB42" s="300"/>
      <c r="AC42" s="300"/>
      <c r="AD42" s="300"/>
      <c r="AE42" s="300"/>
      <c r="AF42" s="552"/>
      <c r="AG42" s="552"/>
      <c r="AH42" s="552"/>
      <c r="AI42" s="552"/>
      <c r="AJ42" s="300"/>
      <c r="AK42" s="300"/>
      <c r="AL42" s="300"/>
      <c r="AM42" s="300"/>
      <c r="AN42" s="555"/>
      <c r="AO42" s="555"/>
      <c r="AP42" s="501"/>
      <c r="AQ42" s="501"/>
      <c r="AR42" s="501"/>
      <c r="AS42" s="394"/>
      <c r="AT42" s="479"/>
      <c r="AU42" s="133"/>
    </row>
    <row r="43" customFormat="false" ht="14.25" hidden="false" customHeight="true" outlineLevel="0" collapsed="false">
      <c r="A43" s="139"/>
      <c r="B43" s="139" t="s">
        <v>142</v>
      </c>
      <c r="C43" s="139" t="s">
        <v>143</v>
      </c>
      <c r="D43" s="139" t="s">
        <v>144</v>
      </c>
      <c r="E43" s="417" t="s">
        <v>451</v>
      </c>
      <c r="F43" s="417" t="s">
        <v>452</v>
      </c>
      <c r="G43" s="417" t="s">
        <v>453</v>
      </c>
      <c r="H43" s="417" t="s">
        <v>454</v>
      </c>
      <c r="I43" s="417" t="s">
        <v>455</v>
      </c>
      <c r="J43" s="417" t="s">
        <v>456</v>
      </c>
      <c r="K43" s="417" t="s">
        <v>457</v>
      </c>
      <c r="L43" s="417" t="s">
        <v>432</v>
      </c>
      <c r="Q43" s="551"/>
      <c r="R43" s="467"/>
      <c r="S43" s="419"/>
      <c r="T43" s="394"/>
      <c r="U43" s="481"/>
      <c r="V43" s="394" t="s">
        <v>492</v>
      </c>
      <c r="W43" s="394" t="s">
        <v>493</v>
      </c>
      <c r="X43" s="184" t="s">
        <v>460</v>
      </c>
      <c r="Y43" s="184" t="s">
        <v>461</v>
      </c>
      <c r="Z43" s="184"/>
      <c r="AA43" s="553"/>
      <c r="AB43" s="300"/>
      <c r="AC43" s="300"/>
      <c r="AD43" s="300"/>
      <c r="AE43" s="300"/>
      <c r="AF43" s="552"/>
      <c r="AG43" s="552"/>
      <c r="AH43" s="552"/>
      <c r="AI43" s="552"/>
      <c r="AJ43" s="300"/>
      <c r="AK43" s="300"/>
      <c r="AL43" s="300"/>
      <c r="AM43" s="300"/>
      <c r="AN43" s="556" t="s">
        <v>492</v>
      </c>
      <c r="AO43" s="556" t="s">
        <v>493</v>
      </c>
      <c r="AP43" s="184" t="s">
        <v>460</v>
      </c>
      <c r="AQ43" s="184" t="s">
        <v>461</v>
      </c>
      <c r="AR43" s="184"/>
      <c r="AS43" s="394"/>
      <c r="AT43" s="479"/>
      <c r="AU43" s="133"/>
    </row>
    <row r="44" s="119" customFormat="true" ht="11.25" hidden="true" customHeight="true" outlineLevel="0" collapsed="false">
      <c r="A44" s="139"/>
      <c r="B44" s="139"/>
      <c r="C44" s="139"/>
      <c r="D44" s="139"/>
      <c r="E44" s="139"/>
      <c r="F44" s="139"/>
      <c r="G44" s="139"/>
      <c r="H44" s="139"/>
      <c r="I44" s="139"/>
      <c r="J44" s="139"/>
      <c r="K44" s="139"/>
      <c r="L44" s="417"/>
      <c r="M44" s="51"/>
      <c r="N44" s="51"/>
      <c r="O44" s="51"/>
      <c r="P44" s="510"/>
      <c r="Q44" s="484"/>
      <c r="R44" s="484" t="n">
        <v>1</v>
      </c>
      <c r="S44" s="485" t="s">
        <v>117</v>
      </c>
      <c r="T44" s="486" t="s">
        <v>99</v>
      </c>
      <c r="U44" s="487" t="str">
        <f aca="true">OFFSET(U44,0,-1)</f>
        <v>2</v>
      </c>
      <c r="V44" s="488" t="n">
        <f aca="true">OFFSET(V44,0,-1)+1</f>
        <v>3</v>
      </c>
      <c r="W44" s="488" t="n">
        <f aca="true">OFFSET(W44,0,-1)+1</f>
        <v>4</v>
      </c>
      <c r="X44" s="488" t="n">
        <f aca="true">OFFSET(X44,0,-1)+1</f>
        <v>5</v>
      </c>
      <c r="Y44" s="488" t="n">
        <f aca="true">OFFSET(Y44,0,-1)+1</f>
        <v>6</v>
      </c>
      <c r="Z44" s="488"/>
      <c r="AA44" s="488" t="n">
        <f aca="true">OFFSET(AA44,0,-2)+1</f>
        <v>7</v>
      </c>
      <c r="AB44" s="367" t="n">
        <f aca="true">OFFSET(AB44,0,-1)+1</f>
        <v>8</v>
      </c>
      <c r="AC44" s="367"/>
      <c r="AD44" s="367"/>
      <c r="AE44" s="367"/>
      <c r="AF44" s="488"/>
      <c r="AG44" s="488"/>
      <c r="AH44" s="488"/>
      <c r="AI44" s="488"/>
      <c r="AJ44" s="488"/>
      <c r="AK44" s="488"/>
      <c r="AL44" s="488"/>
      <c r="AM44" s="488"/>
      <c r="AN44" s="488" t="n">
        <f aca="true">OFFSET(AN44,0,-1)+1</f>
        <v>1</v>
      </c>
      <c r="AO44" s="488" t="n">
        <f aca="true">OFFSET(AO44,0,-1)+1</f>
        <v>2</v>
      </c>
      <c r="AP44" s="488" t="n">
        <f aca="true">OFFSET(AP44,0,-1)+1</f>
        <v>3</v>
      </c>
      <c r="AQ44" s="488" t="n">
        <f aca="true">OFFSET(AQ44,0,-1)+1</f>
        <v>4</v>
      </c>
      <c r="AR44" s="488"/>
      <c r="AS44" s="488" t="n">
        <f aca="true">OFFSET(AS44,0,-2)+1</f>
        <v>5</v>
      </c>
      <c r="AT44" s="487" t="n">
        <f aca="true">OFFSET(AT44,0,-1)</f>
        <v>5</v>
      </c>
      <c r="AU44" s="488" t="n">
        <f aca="true">OFFSET(AU44,0,-1)+1</f>
        <v>6</v>
      </c>
      <c r="AV44" s="47"/>
      <c r="AW44" s="47"/>
      <c r="AX44" s="47"/>
      <c r="AY44" s="47"/>
      <c r="AZ44" s="47"/>
    </row>
    <row r="45" customFormat="false" ht="102" hidden="false" customHeight="true" outlineLevel="0" collapsed="false">
      <c r="A45" s="415" t="s">
        <v>205</v>
      </c>
      <c r="B45" s="415"/>
      <c r="C45" s="415"/>
      <c r="D45" s="415"/>
      <c r="E45" s="416" t="n">
        <v>1</v>
      </c>
      <c r="F45" s="415"/>
      <c r="G45" s="415"/>
      <c r="H45" s="415"/>
      <c r="I45" s="415"/>
      <c r="J45" s="415"/>
      <c r="K45" s="415"/>
      <c r="L45" s="417"/>
      <c r="M45" s="40"/>
      <c r="N45" s="40"/>
      <c r="O45" s="40"/>
      <c r="Q45" s="54"/>
      <c r="R45" s="418"/>
      <c r="S45" s="419" t="n">
        <f aca="false">INDEX(PT_DIFFERENTIATION_NUM_NTAR,MATCH(A45,PT_DIFFERENTIATION_NTAR_ID,0))</f>
        <v>0</v>
      </c>
      <c r="T45" s="420" t="s">
        <v>130</v>
      </c>
      <c r="U45" s="421"/>
      <c r="V45" s="523"/>
      <c r="W45" s="523"/>
      <c r="X45" s="523"/>
      <c r="Y45" s="523"/>
      <c r="Z45" s="523"/>
      <c r="AA45" s="523"/>
      <c r="AB45" s="423" t="str">
        <f aca="false">INDEX(PT_DIFFERENTIATION_NTAR,MATCH(A45,PT_DIFFERENTIATION_NTAR_ID,0))</f>
        <v/>
      </c>
      <c r="AC45" s="423"/>
      <c r="AD45" s="423"/>
      <c r="AE45" s="423"/>
      <c r="AF45" s="423"/>
      <c r="AG45" s="423"/>
      <c r="AH45" s="423"/>
      <c r="AI45" s="423"/>
      <c r="AJ45" s="423"/>
      <c r="AK45" s="423"/>
      <c r="AL45" s="423"/>
      <c r="AM45" s="423"/>
      <c r="AN45" s="423"/>
      <c r="AO45" s="423"/>
      <c r="AP45" s="423"/>
      <c r="AQ45" s="423"/>
      <c r="AR45" s="423"/>
      <c r="AS45" s="423"/>
      <c r="AT45" s="423"/>
      <c r="AU45" s="424"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117"/>
      <c r="AX45" s="117" t="str">
        <f aca="false">IF(T45="","",T45)</f>
        <v>Наименование тарифа</v>
      </c>
      <c r="AY45" s="117"/>
      <c r="AZ45" s="117"/>
    </row>
    <row r="46" customFormat="false" ht="21" hidden="false" customHeight="true" outlineLevel="0" collapsed="false">
      <c r="A46" s="415" t="s">
        <v>205</v>
      </c>
      <c r="B46" s="415" t="s">
        <v>206</v>
      </c>
      <c r="C46" s="415"/>
      <c r="D46" s="415"/>
      <c r="E46" s="416"/>
      <c r="F46" s="416" t="n">
        <v>1</v>
      </c>
      <c r="G46" s="415"/>
      <c r="H46" s="415"/>
      <c r="I46" s="415"/>
      <c r="J46" s="415"/>
      <c r="K46" s="415"/>
      <c r="L46" s="417"/>
      <c r="M46" s="40"/>
      <c r="N46" s="40"/>
      <c r="O46" s="40"/>
      <c r="P46" s="44"/>
      <c r="Q46" s="524"/>
      <c r="R46" s="426"/>
      <c r="S46" s="419" t="str">
        <f aca="false">INDEX(PT_DIFFERENTIATION_NUM_TER,MATCH(B46,PT_DIFFERENTIATION_TER_ID,0))</f>
        <v>.</v>
      </c>
      <c r="T46" s="427" t="s">
        <v>413</v>
      </c>
      <c r="U46" s="421"/>
      <c r="V46" s="523"/>
      <c r="W46" s="523"/>
      <c r="X46" s="523"/>
      <c r="Y46" s="523"/>
      <c r="Z46" s="523"/>
      <c r="AA46" s="523"/>
      <c r="AB46" s="423" t="str">
        <f aca="false">INDEX(PT_DIFFERENTIATION_TER,MATCH(B46,PT_DIFFERENTIATION_TER_ID,0))</f>
        <v/>
      </c>
      <c r="AC46" s="423"/>
      <c r="AD46" s="423"/>
      <c r="AE46" s="423"/>
      <c r="AF46" s="423"/>
      <c r="AG46" s="423"/>
      <c r="AH46" s="423"/>
      <c r="AI46" s="423"/>
      <c r="AJ46" s="423"/>
      <c r="AK46" s="423"/>
      <c r="AL46" s="423"/>
      <c r="AM46" s="423"/>
      <c r="AN46" s="423"/>
      <c r="AO46" s="423"/>
      <c r="AP46" s="423"/>
      <c r="AQ46" s="423"/>
      <c r="AR46" s="423"/>
      <c r="AS46" s="423"/>
      <c r="AT46" s="423"/>
      <c r="AU46" s="424" t="s">
        <v>414</v>
      </c>
      <c r="AW46" s="117"/>
      <c r="AX46" s="117" t="str">
        <f aca="false">IF(T46="","",T46)</f>
        <v>Территория действия тарифа</v>
      </c>
      <c r="AY46" s="117"/>
      <c r="AZ46" s="117"/>
    </row>
    <row r="47" customFormat="false" ht="23.25" hidden="false" customHeight="true" outlineLevel="0" collapsed="false">
      <c r="A47" s="415" t="s">
        <v>205</v>
      </c>
      <c r="B47" s="415" t="s">
        <v>206</v>
      </c>
      <c r="C47" s="415" t="s">
        <v>207</v>
      </c>
      <c r="D47" s="415"/>
      <c r="E47" s="416"/>
      <c r="F47" s="416"/>
      <c r="G47" s="416" t="n">
        <v>1</v>
      </c>
      <c r="H47" s="415"/>
      <c r="I47" s="415"/>
      <c r="J47" s="415"/>
      <c r="K47" s="415"/>
      <c r="L47" s="417"/>
      <c r="M47" s="40"/>
      <c r="N47" s="40"/>
      <c r="O47" s="40"/>
      <c r="P47" s="126"/>
      <c r="Q47" s="524"/>
      <c r="R47" s="426"/>
      <c r="S47" s="419" t="str">
        <f aca="false">INDEX(PT_DIFFERENTIATION_NUM_CS,MATCH(C47,PT_DIFFERENTIATION_CS_ID,0))</f>
        <v>..</v>
      </c>
      <c r="T47" s="429" t="s">
        <v>415</v>
      </c>
      <c r="U47" s="421"/>
      <c r="V47" s="523"/>
      <c r="W47" s="523"/>
      <c r="X47" s="523"/>
      <c r="Y47" s="523"/>
      <c r="Z47" s="523"/>
      <c r="AA47" s="523"/>
      <c r="AB47" s="423" t="str">
        <f aca="false">INDEX(PT_DIFFERENTIATION_CS,MATCH(C47,PT_DIFFERENTIATION_CS_ID,0))</f>
        <v/>
      </c>
      <c r="AC47" s="423"/>
      <c r="AD47" s="423"/>
      <c r="AE47" s="423"/>
      <c r="AF47" s="423"/>
      <c r="AG47" s="423"/>
      <c r="AH47" s="423"/>
      <c r="AI47" s="423"/>
      <c r="AJ47" s="423"/>
      <c r="AK47" s="423"/>
      <c r="AL47" s="423"/>
      <c r="AM47" s="423"/>
      <c r="AN47" s="423"/>
      <c r="AO47" s="423"/>
      <c r="AP47" s="423"/>
      <c r="AQ47" s="423"/>
      <c r="AR47" s="423"/>
      <c r="AS47" s="423"/>
      <c r="AT47" s="423"/>
      <c r="AU47" s="424" t="s">
        <v>416</v>
      </c>
      <c r="AW47" s="117"/>
      <c r="AX47" s="117" t="str">
        <f aca="false">IF(T47="","",T47)</f>
        <v>Наименование системы теплоснабжения</v>
      </c>
      <c r="AY47" s="117"/>
      <c r="AZ47" s="117"/>
    </row>
    <row r="48" customFormat="false" ht="21" hidden="false" customHeight="true" outlineLevel="0" collapsed="false">
      <c r="A48" s="415" t="s">
        <v>205</v>
      </c>
      <c r="B48" s="415" t="s">
        <v>206</v>
      </c>
      <c r="C48" s="415" t="s">
        <v>207</v>
      </c>
      <c r="D48" s="415" t="s">
        <v>208</v>
      </c>
      <c r="E48" s="416"/>
      <c r="F48" s="416"/>
      <c r="G48" s="416"/>
      <c r="H48" s="416" t="n">
        <v>1</v>
      </c>
      <c r="I48" s="415"/>
      <c r="J48" s="415"/>
      <c r="K48" s="415"/>
      <c r="L48" s="417"/>
      <c r="M48" s="40"/>
      <c r="N48" s="40"/>
      <c r="O48" s="40"/>
      <c r="P48" s="126"/>
      <c r="Q48" s="524"/>
      <c r="R48" s="426"/>
      <c r="S48" s="419" t="str">
        <f aca="false">INDEX(PT_DIFFERENTIATION_NUM_IST_TE,MATCH(D48,PT_DIFFERENTIATION_IST_TE_ID,0))</f>
        <v>...</v>
      </c>
      <c r="T48" s="430" t="s">
        <v>417</v>
      </c>
      <c r="U48" s="421"/>
      <c r="V48" s="523"/>
      <c r="W48" s="523"/>
      <c r="X48" s="523"/>
      <c r="Y48" s="523"/>
      <c r="Z48" s="523"/>
      <c r="AA48" s="523"/>
      <c r="AB48" s="423" t="str">
        <f aca="false">INDEX(PT_DIFFERENTIATION_IST_TE,MATCH(D48,PT_DIFFERENTIATION_IST_TE_ID,0))</f>
        <v/>
      </c>
      <c r="AC48" s="423"/>
      <c r="AD48" s="423"/>
      <c r="AE48" s="423"/>
      <c r="AF48" s="423"/>
      <c r="AG48" s="423"/>
      <c r="AH48" s="423"/>
      <c r="AI48" s="423"/>
      <c r="AJ48" s="423"/>
      <c r="AK48" s="423"/>
      <c r="AL48" s="423"/>
      <c r="AM48" s="423"/>
      <c r="AN48" s="423"/>
      <c r="AO48" s="423"/>
      <c r="AP48" s="423"/>
      <c r="AQ48" s="423"/>
      <c r="AR48" s="423"/>
      <c r="AS48" s="423"/>
      <c r="AT48" s="423"/>
      <c r="AU48" s="424" t="s">
        <v>418</v>
      </c>
      <c r="AW48" s="117"/>
      <c r="AX48" s="117" t="str">
        <f aca="false">IF(T48="","",T48)</f>
        <v>Источник тепловой энергии</v>
      </c>
      <c r="AY48" s="117"/>
      <c r="AZ48" s="117"/>
    </row>
    <row r="49" s="47" customFormat="true" ht="12.8" hidden="false" customHeight="false" outlineLevel="0" collapsed="false">
      <c r="A49" s="121" t="s">
        <v>205</v>
      </c>
      <c r="B49" s="121" t="s">
        <v>206</v>
      </c>
      <c r="C49" s="121" t="s">
        <v>207</v>
      </c>
      <c r="D49" s="121" t="s">
        <v>208</v>
      </c>
      <c r="E49" s="416"/>
      <c r="F49" s="416"/>
      <c r="G49" s="416"/>
      <c r="H49" s="416"/>
      <c r="I49" s="431" t="str">
        <f aca="false">S48&amp;".1"</f>
        <v>....1</v>
      </c>
      <c r="J49" s="121"/>
      <c r="K49" s="121"/>
      <c r="L49" s="191" t="s">
        <v>419</v>
      </c>
      <c r="M49" s="510"/>
      <c r="N49" s="510"/>
      <c r="O49" s="510"/>
      <c r="P49" s="120" t="n">
        <v>1</v>
      </c>
      <c r="Q49" s="120"/>
      <c r="R49" s="432"/>
      <c r="S49" s="305"/>
      <c r="T49" s="502"/>
      <c r="U49" s="503"/>
      <c r="V49" s="525"/>
      <c r="W49" s="525"/>
      <c r="X49" s="525"/>
      <c r="Y49" s="525"/>
      <c r="Z49" s="525"/>
      <c r="AA49" s="525"/>
      <c r="AB49" s="504"/>
      <c r="AC49" s="504"/>
      <c r="AD49" s="504"/>
      <c r="AE49" s="504"/>
      <c r="AF49" s="504"/>
      <c r="AG49" s="504"/>
      <c r="AH49" s="504"/>
      <c r="AI49" s="504"/>
      <c r="AJ49" s="504"/>
      <c r="AK49" s="504"/>
      <c r="AL49" s="504"/>
      <c r="AM49" s="504"/>
      <c r="AN49" s="504"/>
      <c r="AO49" s="504"/>
      <c r="AP49" s="504"/>
      <c r="AQ49" s="504"/>
      <c r="AR49" s="504"/>
      <c r="AS49" s="504"/>
      <c r="AT49" s="504"/>
      <c r="AU49" s="505"/>
      <c r="AW49" s="117"/>
      <c r="AX49" s="117" t="str">
        <f aca="false">IF(T49="","",T49)</f>
        <v/>
      </c>
      <c r="AY49" s="117"/>
      <c r="AZ49" s="117"/>
    </row>
    <row r="50" s="47" customFormat="true" ht="12.8" hidden="false" customHeight="false" outlineLevel="0" collapsed="false">
      <c r="A50" s="121" t="s">
        <v>205</v>
      </c>
      <c r="B50" s="121" t="s">
        <v>206</v>
      </c>
      <c r="C50" s="121" t="s">
        <v>207</v>
      </c>
      <c r="D50" s="121" t="s">
        <v>208</v>
      </c>
      <c r="E50" s="416"/>
      <c r="F50" s="416"/>
      <c r="G50" s="416"/>
      <c r="H50" s="416"/>
      <c r="I50" s="431"/>
      <c r="J50" s="431" t="str">
        <f aca="false">S48&amp;".1"</f>
        <v>....1</v>
      </c>
      <c r="K50" s="121"/>
      <c r="L50" s="191"/>
      <c r="M50" s="510"/>
      <c r="N50" s="510"/>
      <c r="O50" s="510"/>
      <c r="P50" s="120"/>
      <c r="Q50" s="120" t="n">
        <v>1</v>
      </c>
      <c r="R50" s="435"/>
      <c r="S50" s="305"/>
      <c r="T50" s="526"/>
      <c r="U50" s="503"/>
      <c r="V50" s="525"/>
      <c r="W50" s="525"/>
      <c r="X50" s="525"/>
      <c r="Y50" s="525"/>
      <c r="Z50" s="525"/>
      <c r="AA50" s="525"/>
      <c r="AB50" s="504"/>
      <c r="AC50" s="504"/>
      <c r="AD50" s="504"/>
      <c r="AE50" s="504"/>
      <c r="AF50" s="504"/>
      <c r="AG50" s="504"/>
      <c r="AH50" s="504"/>
      <c r="AI50" s="504"/>
      <c r="AJ50" s="504"/>
      <c r="AK50" s="504"/>
      <c r="AL50" s="504"/>
      <c r="AM50" s="504"/>
      <c r="AN50" s="504"/>
      <c r="AO50" s="504"/>
      <c r="AP50" s="504"/>
      <c r="AQ50" s="504"/>
      <c r="AR50" s="504"/>
      <c r="AS50" s="504"/>
      <c r="AT50" s="504"/>
      <c r="AU50" s="505"/>
      <c r="AW50" s="117"/>
      <c r="AX50" s="117" t="str">
        <f aca="false">IF(T50="","",T50)</f>
        <v/>
      </c>
      <c r="AY50" s="117"/>
      <c r="AZ50" s="117"/>
    </row>
    <row r="51" customFormat="false" ht="21" hidden="false" customHeight="true" outlineLevel="0" collapsed="false">
      <c r="A51" s="415" t="s">
        <v>205</v>
      </c>
      <c r="B51" s="415" t="s">
        <v>206</v>
      </c>
      <c r="C51" s="415" t="s">
        <v>207</v>
      </c>
      <c r="D51" s="415" t="s">
        <v>208</v>
      </c>
      <c r="E51" s="416"/>
      <c r="F51" s="416"/>
      <c r="G51" s="416"/>
      <c r="H51" s="416"/>
      <c r="I51" s="431"/>
      <c r="J51" s="431"/>
      <c r="K51" s="431" t="str">
        <f aca="false">S48&amp;".1"</f>
        <v>....1</v>
      </c>
      <c r="L51" s="417"/>
      <c r="P51" s="120"/>
      <c r="Q51" s="120"/>
      <c r="R51" s="435" t="n">
        <v>1</v>
      </c>
      <c r="S51" s="419" t="str">
        <f aca="false">$K51</f>
        <v>....1</v>
      </c>
      <c r="T51" s="528"/>
      <c r="U51" s="421"/>
      <c r="V51" s="438"/>
      <c r="W51" s="440"/>
      <c r="X51" s="441"/>
      <c r="Y51" s="203" t="s">
        <v>63</v>
      </c>
      <c r="Z51" s="441"/>
      <c r="AA51" s="203" t="s">
        <v>63</v>
      </c>
      <c r="AB51" s="203" t="s">
        <v>53</v>
      </c>
      <c r="AC51" s="529"/>
      <c r="AD51" s="301" t="n">
        <v>1</v>
      </c>
      <c r="AE51" s="89"/>
      <c r="AF51" s="203" t="s">
        <v>53</v>
      </c>
      <c r="AG51" s="529"/>
      <c r="AH51" s="301" t="n">
        <v>1</v>
      </c>
      <c r="AI51" s="89"/>
      <c r="AJ51" s="203" t="s">
        <v>53</v>
      </c>
      <c r="AK51" s="530"/>
      <c r="AL51" s="301" t="n">
        <v>1</v>
      </c>
      <c r="AM51" s="557"/>
      <c r="AN51" s="438"/>
      <c r="AO51" s="440"/>
      <c r="AP51" s="441"/>
      <c r="AQ51" s="203" t="s">
        <v>63</v>
      </c>
      <c r="AR51" s="441"/>
      <c r="AS51" s="203" t="s">
        <v>63</v>
      </c>
      <c r="AT51" s="489"/>
      <c r="AU51" s="442" t="s">
        <v>494</v>
      </c>
      <c r="AV51" s="47" t="e">
        <f aca="false">strcheckdate(V54:AT54)</f>
        <v>#NAME?</v>
      </c>
      <c r="AW51" s="117"/>
      <c r="AX51" s="117" t="str">
        <f aca="false">IF(T51="","",T51)</f>
        <v/>
      </c>
      <c r="AY51" s="117"/>
      <c r="AZ51" s="117"/>
    </row>
    <row r="52" customFormat="false" ht="11.25" hidden="false" customHeight="true" outlineLevel="0" collapsed="false">
      <c r="A52" s="415" t="s">
        <v>205</v>
      </c>
      <c r="B52" s="415"/>
      <c r="C52" s="415"/>
      <c r="D52" s="415"/>
      <c r="E52" s="416"/>
      <c r="F52" s="416"/>
      <c r="G52" s="416"/>
      <c r="H52" s="416"/>
      <c r="I52" s="431"/>
      <c r="J52" s="431"/>
      <c r="K52" s="431"/>
      <c r="L52" s="417"/>
      <c r="P52" s="120"/>
      <c r="Q52" s="120"/>
      <c r="R52" s="435"/>
      <c r="S52" s="419"/>
      <c r="T52" s="528"/>
      <c r="U52" s="421"/>
      <c r="V52" s="519"/>
      <c r="W52" s="533"/>
      <c r="X52" s="519"/>
      <c r="Y52" s="519"/>
      <c r="Z52" s="519"/>
      <c r="AA52" s="519"/>
      <c r="AB52" s="203"/>
      <c r="AC52" s="529"/>
      <c r="AD52" s="301"/>
      <c r="AE52" s="89"/>
      <c r="AF52" s="203"/>
      <c r="AG52" s="529"/>
      <c r="AH52" s="301"/>
      <c r="AI52" s="89"/>
      <c r="AJ52" s="203"/>
      <c r="AK52" s="532"/>
      <c r="AL52" s="167"/>
      <c r="AM52" s="160" t="s">
        <v>478</v>
      </c>
      <c r="AN52" s="519"/>
      <c r="AO52" s="533"/>
      <c r="AP52" s="519"/>
      <c r="AQ52" s="519"/>
      <c r="AR52" s="519"/>
      <c r="AS52" s="519"/>
      <c r="AT52" s="534"/>
      <c r="AU52" s="442"/>
      <c r="AW52" s="117"/>
      <c r="AX52" s="117"/>
      <c r="AY52" s="117"/>
      <c r="AZ52" s="117"/>
    </row>
    <row r="53" customFormat="false" ht="11.25" hidden="false" customHeight="true" outlineLevel="0" collapsed="false">
      <c r="A53" s="415" t="s">
        <v>205</v>
      </c>
      <c r="B53" s="415"/>
      <c r="C53" s="415"/>
      <c r="D53" s="415"/>
      <c r="E53" s="416"/>
      <c r="F53" s="416"/>
      <c r="G53" s="416"/>
      <c r="H53" s="416"/>
      <c r="I53" s="431"/>
      <c r="J53" s="431"/>
      <c r="K53" s="431"/>
      <c r="L53" s="417"/>
      <c r="P53" s="120"/>
      <c r="Q53" s="120"/>
      <c r="R53" s="435"/>
      <c r="S53" s="419"/>
      <c r="T53" s="528"/>
      <c r="U53" s="421"/>
      <c r="V53" s="519"/>
      <c r="W53" s="533"/>
      <c r="X53" s="519"/>
      <c r="Y53" s="519"/>
      <c r="Z53" s="519"/>
      <c r="AA53" s="519"/>
      <c r="AB53" s="203"/>
      <c r="AC53" s="529"/>
      <c r="AD53" s="301"/>
      <c r="AE53" s="89"/>
      <c r="AF53" s="203"/>
      <c r="AG53" s="535"/>
      <c r="AH53" s="160"/>
      <c r="AI53" s="160" t="s">
        <v>479</v>
      </c>
      <c r="AJ53" s="519"/>
      <c r="AK53" s="519"/>
      <c r="AL53" s="519"/>
      <c r="AM53" s="519"/>
      <c r="AN53" s="519"/>
      <c r="AO53" s="533"/>
      <c r="AP53" s="519"/>
      <c r="AQ53" s="519"/>
      <c r="AR53" s="519"/>
      <c r="AS53" s="519"/>
      <c r="AT53" s="534"/>
      <c r="AU53" s="442"/>
      <c r="AW53" s="117"/>
      <c r="AX53" s="117"/>
      <c r="AY53" s="117"/>
      <c r="AZ53" s="117"/>
    </row>
    <row r="54" customFormat="false" ht="11.25" hidden="false" customHeight="true" outlineLevel="0" collapsed="false">
      <c r="A54" s="415" t="s">
        <v>205</v>
      </c>
      <c r="B54" s="415" t="s">
        <v>206</v>
      </c>
      <c r="C54" s="415" t="s">
        <v>207</v>
      </c>
      <c r="D54" s="415" t="s">
        <v>208</v>
      </c>
      <c r="E54" s="416"/>
      <c r="F54" s="416"/>
      <c r="G54" s="416"/>
      <c r="H54" s="416"/>
      <c r="I54" s="431"/>
      <c r="J54" s="431"/>
      <c r="K54" s="431"/>
      <c r="L54" s="417"/>
      <c r="P54" s="120"/>
      <c r="Q54" s="120"/>
      <c r="R54" s="435"/>
      <c r="S54" s="419"/>
      <c r="T54" s="528"/>
      <c r="U54" s="421"/>
      <c r="V54" s="519"/>
      <c r="W54" s="520" t="str">
        <f aca="false">X51&amp;"-"&amp;Z51</f>
        <v>-</v>
      </c>
      <c r="X54" s="519"/>
      <c r="Y54" s="519"/>
      <c r="Z54" s="519"/>
      <c r="AA54" s="519"/>
      <c r="AB54" s="203"/>
      <c r="AC54" s="537"/>
      <c r="AD54" s="538"/>
      <c r="AE54" s="160" t="s">
        <v>480</v>
      </c>
      <c r="AF54" s="519"/>
      <c r="AG54" s="519"/>
      <c r="AH54" s="519"/>
      <c r="AI54" s="519"/>
      <c r="AJ54" s="519"/>
      <c r="AK54" s="519"/>
      <c r="AL54" s="519"/>
      <c r="AM54" s="519"/>
      <c r="AN54" s="519"/>
      <c r="AO54" s="520" t="str">
        <f aca="false">AP51&amp;"-"&amp;AR51</f>
        <v>-</v>
      </c>
      <c r="AP54" s="519"/>
      <c r="AQ54" s="519"/>
      <c r="AR54" s="519"/>
      <c r="AS54" s="519"/>
      <c r="AT54" s="490"/>
      <c r="AU54" s="442"/>
      <c r="AW54" s="117"/>
      <c r="AX54" s="117" t="str">
        <f aca="false">IF(T54="","",T54)</f>
        <v/>
      </c>
      <c r="AY54" s="117"/>
      <c r="AZ54" s="117"/>
    </row>
    <row r="55" customFormat="false" ht="11.25" hidden="false" customHeight="true" outlineLevel="0" collapsed="false">
      <c r="A55" s="415" t="s">
        <v>205</v>
      </c>
      <c r="B55" s="415" t="s">
        <v>206</v>
      </c>
      <c r="C55" s="415" t="s">
        <v>207</v>
      </c>
      <c r="D55" s="415" t="s">
        <v>208</v>
      </c>
      <c r="E55" s="416"/>
      <c r="F55" s="416"/>
      <c r="G55" s="416"/>
      <c r="H55" s="416"/>
      <c r="I55" s="431"/>
      <c r="J55" s="431"/>
      <c r="K55" s="415"/>
      <c r="L55" s="417"/>
      <c r="P55" s="120"/>
      <c r="Q55" s="120"/>
      <c r="R55" s="432"/>
      <c r="S55" s="444"/>
      <c r="T55" s="447" t="s">
        <v>481</v>
      </c>
      <c r="U55" s="193"/>
      <c r="V55" s="193"/>
      <c r="W55" s="193"/>
      <c r="X55" s="193"/>
      <c r="Y55" s="193"/>
      <c r="Z55" s="193"/>
      <c r="AA55" s="446"/>
      <c r="AB55" s="558"/>
      <c r="AC55" s="193"/>
      <c r="AD55" s="193"/>
      <c r="AE55" s="193"/>
      <c r="AF55" s="193"/>
      <c r="AG55" s="193"/>
      <c r="AH55" s="193"/>
      <c r="AI55" s="193"/>
      <c r="AJ55" s="193"/>
      <c r="AK55" s="193"/>
      <c r="AL55" s="193"/>
      <c r="AM55" s="193"/>
      <c r="AN55" s="193"/>
      <c r="AO55" s="193"/>
      <c r="AP55" s="193"/>
      <c r="AQ55" s="193"/>
      <c r="AR55" s="193"/>
      <c r="AS55" s="193"/>
      <c r="AT55" s="446"/>
      <c r="AU55" s="442"/>
      <c r="AW55" s="117"/>
      <c r="AX55" s="117" t="str">
        <f aca="false">IF(T55="","",T55)</f>
        <v>Добавить строку</v>
      </c>
      <c r="AY55" s="117"/>
      <c r="AZ55" s="117"/>
    </row>
    <row r="56" s="47" customFormat="true" ht="5.25" hidden="false" customHeight="true" outlineLevel="0" collapsed="false">
      <c r="A56" s="121" t="s">
        <v>205</v>
      </c>
      <c r="B56" s="121" t="s">
        <v>206</v>
      </c>
      <c r="C56" s="121" t="s">
        <v>207</v>
      </c>
      <c r="D56" s="121" t="s">
        <v>208</v>
      </c>
      <c r="E56" s="416"/>
      <c r="F56" s="416"/>
      <c r="G56" s="416"/>
      <c r="H56" s="416"/>
      <c r="I56" s="431"/>
      <c r="J56" s="121"/>
      <c r="K56" s="121"/>
      <c r="L56" s="191"/>
      <c r="M56" s="510"/>
      <c r="N56" s="510"/>
      <c r="O56" s="510"/>
      <c r="P56" s="120"/>
      <c r="Q56" s="120"/>
      <c r="R56" s="432"/>
      <c r="S56" s="506"/>
      <c r="T56" s="507" t="s">
        <v>428</v>
      </c>
      <c r="U56" s="508"/>
      <c r="V56" s="508"/>
      <c r="W56" s="508"/>
      <c r="X56" s="508"/>
      <c r="Y56" s="508"/>
      <c r="Z56" s="508"/>
      <c r="AA56" s="508"/>
      <c r="AB56" s="508"/>
      <c r="AC56" s="508"/>
      <c r="AD56" s="508"/>
      <c r="AE56" s="508"/>
      <c r="AF56" s="508"/>
      <c r="AG56" s="508"/>
      <c r="AH56" s="508"/>
      <c r="AI56" s="508"/>
      <c r="AJ56" s="508"/>
      <c r="AK56" s="508"/>
      <c r="AL56" s="508"/>
      <c r="AM56" s="508"/>
      <c r="AN56" s="508"/>
      <c r="AO56" s="508"/>
      <c r="AP56" s="508"/>
      <c r="AQ56" s="508"/>
      <c r="AR56" s="508"/>
      <c r="AS56" s="508"/>
      <c r="AT56" s="508"/>
      <c r="AU56" s="509"/>
      <c r="AW56" s="117"/>
      <c r="AX56" s="117" t="str">
        <f aca="false">IF(T56="","",T56)</f>
        <v>Добавить группу потребителей</v>
      </c>
      <c r="AY56" s="117"/>
      <c r="AZ56" s="117"/>
    </row>
    <row r="57" s="119" customFormat="true" ht="5.25" hidden="false" customHeight="true" outlineLevel="0" collapsed="false">
      <c r="A57" s="121" t="s">
        <v>205</v>
      </c>
      <c r="B57" s="121" t="s">
        <v>206</v>
      </c>
      <c r="C57" s="121" t="s">
        <v>207</v>
      </c>
      <c r="D57" s="121" t="s">
        <v>208</v>
      </c>
      <c r="E57" s="416"/>
      <c r="F57" s="416"/>
      <c r="G57" s="416"/>
      <c r="H57" s="416"/>
      <c r="I57" s="121"/>
      <c r="J57" s="121"/>
      <c r="K57" s="121"/>
      <c r="L57" s="191"/>
      <c r="M57" s="46"/>
      <c r="N57" s="46"/>
      <c r="O57" s="47"/>
      <c r="P57" s="155"/>
      <c r="Q57" s="452"/>
      <c r="R57" s="559"/>
      <c r="S57" s="506"/>
      <c r="T57" s="507"/>
      <c r="U57" s="508"/>
      <c r="V57" s="508"/>
      <c r="W57" s="508"/>
      <c r="X57" s="508"/>
      <c r="Y57" s="508"/>
      <c r="Z57" s="508"/>
      <c r="AA57" s="508"/>
      <c r="AB57" s="508"/>
      <c r="AC57" s="508"/>
      <c r="AD57" s="508"/>
      <c r="AE57" s="508"/>
      <c r="AF57" s="508"/>
      <c r="AG57" s="508"/>
      <c r="AH57" s="508"/>
      <c r="AI57" s="508"/>
      <c r="AJ57" s="508"/>
      <c r="AK57" s="508"/>
      <c r="AL57" s="508"/>
      <c r="AM57" s="508"/>
      <c r="AN57" s="508"/>
      <c r="AO57" s="508"/>
      <c r="AP57" s="508"/>
      <c r="AQ57" s="508"/>
      <c r="AR57" s="508"/>
      <c r="AS57" s="508"/>
      <c r="AT57" s="508"/>
      <c r="AU57" s="509"/>
      <c r="AV57" s="47"/>
      <c r="AW57" s="117"/>
      <c r="AX57" s="117" t="str">
        <f aca="false">IF(T57="","",T57)</f>
        <v/>
      </c>
      <c r="AY57" s="117"/>
      <c r="AZ57" s="117"/>
    </row>
    <row r="58" s="47" customFormat="true" ht="5.25" hidden="false" customHeight="true" outlineLevel="0" collapsed="false">
      <c r="A58" s="121" t="s">
        <v>205</v>
      </c>
      <c r="B58" s="121" t="s">
        <v>206</v>
      </c>
      <c r="C58" s="121" t="s">
        <v>207</v>
      </c>
      <c r="D58" s="121"/>
      <c r="E58" s="416"/>
      <c r="F58" s="416"/>
      <c r="G58" s="416"/>
      <c r="H58" s="121"/>
      <c r="I58" s="121"/>
      <c r="J58" s="121"/>
      <c r="K58" s="121"/>
      <c r="L58" s="191"/>
      <c r="M58" s="46"/>
      <c r="N58" s="46"/>
      <c r="P58" s="155"/>
      <c r="Q58" s="452"/>
      <c r="R58" s="155"/>
      <c r="S58" s="457"/>
      <c r="T58" s="460" t="s">
        <v>430</v>
      </c>
      <c r="U58" s="459"/>
      <c r="V58" s="459"/>
      <c r="W58" s="459"/>
      <c r="X58" s="459"/>
      <c r="Y58" s="459"/>
      <c r="Z58" s="459"/>
      <c r="AA58" s="459"/>
      <c r="AB58" s="459"/>
      <c r="AC58" s="459"/>
      <c r="AD58" s="459"/>
      <c r="AE58" s="459"/>
      <c r="AF58" s="459"/>
      <c r="AG58" s="459"/>
      <c r="AH58" s="459"/>
      <c r="AI58" s="459"/>
      <c r="AJ58" s="459"/>
      <c r="AK58" s="459"/>
      <c r="AL58" s="459"/>
      <c r="AM58" s="459"/>
      <c r="AN58" s="459"/>
      <c r="AO58" s="459"/>
      <c r="AP58" s="459"/>
      <c r="AQ58" s="459"/>
      <c r="AR58" s="459"/>
      <c r="AS58" s="459"/>
      <c r="AT58" s="459"/>
      <c r="AU58" s="459"/>
      <c r="AW58" s="117"/>
      <c r="AX58" s="117" t="str">
        <f aca="false">IF(T58="","",T58)</f>
        <v>Добавить источник для дифференциации</v>
      </c>
      <c r="AY58" s="117"/>
      <c r="AZ58" s="117"/>
    </row>
    <row r="59" s="47" customFormat="true" ht="5.25" hidden="false" customHeight="true" outlineLevel="0" collapsed="false">
      <c r="A59" s="121" t="s">
        <v>205</v>
      </c>
      <c r="B59" s="121" t="s">
        <v>206</v>
      </c>
      <c r="C59" s="121"/>
      <c r="D59" s="121"/>
      <c r="E59" s="416"/>
      <c r="F59" s="416"/>
      <c r="G59" s="121"/>
      <c r="H59" s="121"/>
      <c r="I59" s="121"/>
      <c r="J59" s="121"/>
      <c r="K59" s="121"/>
      <c r="L59" s="191"/>
      <c r="M59" s="456"/>
      <c r="N59" s="456"/>
      <c r="P59" s="155"/>
      <c r="Q59" s="452"/>
      <c r="R59" s="155"/>
      <c r="S59" s="457"/>
      <c r="T59" s="460" t="s">
        <v>261</v>
      </c>
      <c r="U59" s="459"/>
      <c r="V59" s="459"/>
      <c r="W59" s="459"/>
      <c r="X59" s="459"/>
      <c r="Y59" s="459"/>
      <c r="Z59" s="459"/>
      <c r="AA59" s="459"/>
      <c r="AB59" s="459"/>
      <c r="AC59" s="459"/>
      <c r="AD59" s="459"/>
      <c r="AE59" s="459"/>
      <c r="AF59" s="459"/>
      <c r="AG59" s="459"/>
      <c r="AH59" s="459"/>
      <c r="AI59" s="459"/>
      <c r="AJ59" s="459"/>
      <c r="AK59" s="459"/>
      <c r="AL59" s="459"/>
      <c r="AM59" s="459"/>
      <c r="AN59" s="459"/>
      <c r="AO59" s="459"/>
      <c r="AP59" s="459"/>
      <c r="AQ59" s="459"/>
      <c r="AR59" s="459"/>
      <c r="AS59" s="459"/>
      <c r="AT59" s="459"/>
      <c r="AU59" s="459"/>
      <c r="AW59" s="117"/>
      <c r="AX59" s="117" t="str">
        <f aca="false">IF(T59="","",T59)</f>
        <v>Добавить централизованную систему для дифференциации</v>
      </c>
      <c r="AY59" s="117"/>
      <c r="AZ59" s="117"/>
    </row>
    <row r="60" s="47" customFormat="true" ht="5.25" hidden="false" customHeight="true" outlineLevel="0" collapsed="false">
      <c r="A60" s="121" t="s">
        <v>205</v>
      </c>
      <c r="B60" s="121"/>
      <c r="C60" s="121"/>
      <c r="D60" s="121"/>
      <c r="E60" s="416"/>
      <c r="F60" s="121"/>
      <c r="G60" s="121"/>
      <c r="H60" s="121"/>
      <c r="I60" s="121"/>
      <c r="J60" s="121"/>
      <c r="K60" s="121"/>
      <c r="L60" s="191"/>
      <c r="M60" s="456"/>
      <c r="N60" s="456"/>
      <c r="P60" s="155"/>
      <c r="Q60" s="452"/>
      <c r="R60" s="155"/>
      <c r="S60" s="457"/>
      <c r="T60" s="460" t="s">
        <v>268</v>
      </c>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W60" s="117"/>
      <c r="AX60" s="117" t="str">
        <f aca="false">IF(T60="","",T60)</f>
        <v>Добавить территорию для дифференциации</v>
      </c>
      <c r="AY60" s="117"/>
      <c r="AZ60" s="117"/>
    </row>
    <row r="61" s="47" customFormat="true" ht="5.25" hidden="false" customHeight="true" outlineLevel="0" collapsed="false">
      <c r="A61" s="121" t="s">
        <v>205</v>
      </c>
      <c r="B61" s="121"/>
      <c r="C61" s="121"/>
      <c r="D61" s="121"/>
      <c r="E61" s="416"/>
      <c r="F61" s="121"/>
      <c r="G61" s="121"/>
      <c r="H61" s="121"/>
      <c r="I61" s="121"/>
      <c r="J61" s="121"/>
      <c r="K61" s="121"/>
      <c r="L61" s="191"/>
      <c r="M61" s="456"/>
      <c r="N61" s="456"/>
      <c r="P61" s="155"/>
      <c r="Q61" s="452"/>
      <c r="R61" s="155"/>
      <c r="S61" s="457"/>
      <c r="T61" s="460" t="s">
        <v>268</v>
      </c>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W61" s="117"/>
      <c r="AX61" s="117" t="str">
        <f aca="false">IF(T61="","",T61)</f>
        <v>Добавить территорию для дифференциации</v>
      </c>
      <c r="AY61" s="117"/>
      <c r="AZ61" s="117"/>
    </row>
    <row r="62" s="47" customFormat="true" ht="5.25" hidden="false" customHeight="true" outlineLevel="0" collapsed="false">
      <c r="A62" s="121"/>
      <c r="B62" s="121"/>
      <c r="C62" s="121"/>
      <c r="D62" s="121"/>
      <c r="E62" s="121"/>
      <c r="F62" s="121"/>
      <c r="G62" s="121"/>
      <c r="H62" s="121"/>
      <c r="I62" s="121"/>
      <c r="J62" s="121"/>
      <c r="K62" s="121"/>
      <c r="L62" s="191"/>
      <c r="M62" s="456"/>
      <c r="N62" s="456"/>
      <c r="P62" s="155"/>
      <c r="Q62" s="452"/>
      <c r="R62" s="155"/>
      <c r="S62" s="457"/>
      <c r="T62" s="460" t="s">
        <v>269</v>
      </c>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W62" s="117"/>
      <c r="AX62" s="117" t="str">
        <f aca="false">IF(T62="","",T62)</f>
        <v>Добавить наименование тарифа</v>
      </c>
      <c r="AY62" s="117"/>
      <c r="AZ62" s="117"/>
    </row>
    <row r="63" customFormat="false" ht="11.25" hidden="false" customHeight="true" outlineLevel="0" collapsed="false">
      <c r="M63" s="45"/>
      <c r="N63" s="45"/>
      <c r="O63" s="45"/>
      <c r="P63" s="45"/>
      <c r="Q63" s="45"/>
      <c r="R63" s="42"/>
      <c r="S63" s="42"/>
      <c r="AV63" s="42"/>
      <c r="AW63" s="42"/>
      <c r="AX63" s="42"/>
      <c r="AY63" s="42"/>
      <c r="AZ63" s="42"/>
    </row>
    <row r="64" customFormat="false" ht="18.75" hidden="false" customHeight="true" outlineLevel="0" collapsed="false">
      <c r="O64" s="45"/>
      <c r="S64" s="412"/>
      <c r="T64" s="491"/>
      <c r="U64" s="491"/>
      <c r="V64" s="491"/>
      <c r="W64" s="491"/>
      <c r="X64" s="491"/>
      <c r="Y64" s="491"/>
      <c r="Z64" s="491"/>
      <c r="AA64" s="491"/>
      <c r="AB64" s="491"/>
      <c r="AC64" s="491"/>
      <c r="AD64" s="491"/>
      <c r="AE64" s="491"/>
      <c r="AF64" s="491"/>
      <c r="AG64" s="491"/>
      <c r="AH64" s="491"/>
      <c r="AI64" s="491"/>
      <c r="AJ64" s="491"/>
      <c r="AK64" s="491"/>
      <c r="AL64" s="491"/>
      <c r="AM64" s="491"/>
      <c r="AN64" s="491"/>
      <c r="AO64" s="491"/>
      <c r="AP64" s="491"/>
      <c r="AQ64" s="491"/>
      <c r="AR64" s="491"/>
      <c r="AS64" s="491"/>
      <c r="AT64" s="491"/>
      <c r="AU64" s="491"/>
    </row>
    <row r="65" customFormat="false" ht="19.5" hidden="false" customHeight="true" outlineLevel="0" collapsed="false">
      <c r="O65" s="45"/>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row>
    <row r="66" customFormat="false" ht="14.25" hidden="false" customHeight="true" outlineLevel="0" collapsed="false">
      <c r="O66" s="45"/>
      <c r="T66" s="491"/>
      <c r="U66" s="491"/>
      <c r="V66" s="491"/>
      <c r="W66" s="491"/>
      <c r="X66" s="491"/>
      <c r="Y66" s="491"/>
      <c r="Z66" s="491"/>
      <c r="AA66" s="491"/>
      <c r="AB66" s="491"/>
      <c r="AC66" s="491"/>
      <c r="AD66" s="491"/>
      <c r="AE66" s="491"/>
      <c r="AF66" s="491"/>
      <c r="AG66" s="491"/>
      <c r="AH66" s="491"/>
      <c r="AI66" s="491"/>
      <c r="AJ66" s="491"/>
      <c r="AK66" s="491"/>
      <c r="AL66" s="491"/>
      <c r="AM66" s="491"/>
      <c r="AN66" s="491"/>
      <c r="AO66" s="491"/>
      <c r="AP66" s="491"/>
      <c r="AQ66" s="491"/>
      <c r="AR66" s="491"/>
      <c r="AS66" s="491"/>
      <c r="AT66" s="491"/>
      <c r="AU66" s="491"/>
    </row>
    <row r="67" customFormat="false" ht="18.75" hidden="false" customHeight="true" outlineLevel="0" collapsed="false">
      <c r="O67" s="45"/>
      <c r="T67" s="491"/>
      <c r="U67" s="491"/>
      <c r="V67" s="491"/>
      <c r="W67" s="491"/>
      <c r="X67" s="491"/>
      <c r="Y67" s="491"/>
      <c r="Z67" s="491"/>
      <c r="AA67" s="491"/>
      <c r="AB67" s="491"/>
      <c r="AC67" s="491"/>
      <c r="AD67" s="491"/>
      <c r="AE67" s="491"/>
      <c r="AF67" s="491"/>
      <c r="AG67" s="491"/>
      <c r="AH67" s="491"/>
      <c r="AI67" s="491"/>
      <c r="AJ67" s="491"/>
      <c r="AK67" s="491"/>
      <c r="AL67" s="491"/>
      <c r="AM67" s="491"/>
      <c r="AN67" s="491"/>
      <c r="AO67" s="491"/>
      <c r="AP67" s="491"/>
      <c r="AQ67" s="491"/>
      <c r="AR67" s="491"/>
      <c r="AS67" s="491"/>
      <c r="AT67" s="491"/>
      <c r="AU67" s="491"/>
    </row>
    <row r="68" customFormat="false" ht="15.75" hidden="false" customHeight="true" outlineLevel="0" collapsed="false">
      <c r="O68" s="45"/>
      <c r="T68" s="491"/>
      <c r="U68" s="491"/>
      <c r="V68" s="491"/>
      <c r="W68" s="491"/>
      <c r="X68" s="491"/>
      <c r="Y68" s="491"/>
      <c r="Z68" s="491"/>
      <c r="AA68" s="491"/>
      <c r="AB68" s="491"/>
      <c r="AC68" s="491"/>
      <c r="AD68" s="491"/>
      <c r="AE68" s="491"/>
      <c r="AF68" s="491"/>
      <c r="AG68" s="491"/>
      <c r="AH68" s="491"/>
      <c r="AI68" s="491"/>
      <c r="AJ68" s="491"/>
      <c r="AK68" s="491"/>
      <c r="AL68" s="491"/>
      <c r="AM68" s="491"/>
      <c r="AN68" s="491"/>
      <c r="AO68" s="491"/>
      <c r="AP68" s="491"/>
      <c r="AQ68" s="491"/>
      <c r="AR68" s="491"/>
      <c r="AS68" s="491"/>
      <c r="AT68" s="491"/>
      <c r="AU68" s="491"/>
    </row>
    <row r="69" customFormat="false" ht="14.25" hidden="false" customHeight="true" outlineLevel="0" collapsed="false">
      <c r="O69" s="45"/>
    </row>
  </sheetData>
  <mergeCells count="118">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2"/>
    <mergeCell ref="X41:Z42"/>
    <mergeCell ref="AN41:AO41"/>
    <mergeCell ref="AP41:AR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71"/>
    <col collapsed="false" customWidth="true" hidden="false" outlineLevel="0" max="18" min="17" style="414" width="3.71"/>
    <col collapsed="false" customWidth="true" hidden="false" outlineLevel="0" max="19" min="19" style="75" width="12.71"/>
    <col collapsed="false" customWidth="true" hidden="false" outlineLevel="0" max="20" min="20" style="42" width="35.71"/>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7" width="10.57"/>
    <col collapsed="false" customWidth="true" hidden="false" outlineLevel="0" max="40" min="40" style="47" width="11.14"/>
    <col collapsed="false" customWidth="false" hidden="false" outlineLevel="0" max="42" min="41" style="47" width="10.57"/>
  </cols>
  <sheetData>
    <row r="1" customFormat="false" ht="14.25" hidden="true" customHeight="true" outlineLevel="0" collapsed="false"/>
    <row r="2" customFormat="false" ht="23.25" hidden="true" customHeight="true" outlineLevel="0" collapsed="false">
      <c r="A2" s="415"/>
      <c r="B2" s="415"/>
      <c r="C2" s="415"/>
      <c r="D2" s="415"/>
      <c r="E2" s="416" t="n">
        <v>1</v>
      </c>
      <c r="F2" s="415"/>
      <c r="G2" s="415"/>
      <c r="H2" s="415"/>
      <c r="I2" s="415"/>
      <c r="J2" s="415"/>
      <c r="K2" s="415"/>
      <c r="L2" s="417"/>
      <c r="M2" s="40"/>
      <c r="N2" s="40"/>
      <c r="O2" s="40"/>
      <c r="Q2" s="131"/>
      <c r="R2" s="418"/>
      <c r="S2" s="419" t="e">
        <f aca="false">INDEX(PT_DIFFERENTIATION_NUM_NTAR,MATCH(A2,PT_DIFFERENTIATION_NTAR_ID,0))</f>
        <v>#N/A</v>
      </c>
      <c r="T2" s="420" t="s">
        <v>130</v>
      </c>
      <c r="U2" s="421"/>
      <c r="V2" s="422"/>
      <c r="W2" s="422"/>
      <c r="X2" s="422"/>
      <c r="Y2" s="422"/>
      <c r="Z2" s="422"/>
      <c r="AA2" s="422"/>
      <c r="AB2" s="422"/>
      <c r="AC2" s="422" t="e">
        <f aca="false">INDEX(PT_DIFFERENTIATION_NTAR,MATCH(A2,PT_DIFFERENTIATION_NTAR_ID,0))</f>
        <v>#N/A</v>
      </c>
      <c r="AD2" s="422"/>
      <c r="AE2" s="422"/>
      <c r="AF2" s="422"/>
      <c r="AG2" s="422"/>
      <c r="AH2" s="422"/>
      <c r="AI2" s="422"/>
      <c r="AJ2" s="422"/>
      <c r="AK2" s="42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7"/>
      <c r="AN2" s="117" t="str">
        <f aca="false">IF(T2="","",T2)</f>
        <v>Наименование тарифа</v>
      </c>
      <c r="AO2" s="117"/>
      <c r="AP2" s="117"/>
    </row>
    <row r="3" customFormat="false" ht="23.25" hidden="true" customHeight="true" outlineLevel="0" collapsed="false">
      <c r="A3" s="415"/>
      <c r="B3" s="415"/>
      <c r="C3" s="415"/>
      <c r="D3" s="415"/>
      <c r="E3" s="416"/>
      <c r="F3" s="416" t="n">
        <v>1</v>
      </c>
      <c r="G3" s="415"/>
      <c r="H3" s="415"/>
      <c r="I3" s="415"/>
      <c r="J3" s="415"/>
      <c r="K3" s="415"/>
      <c r="L3" s="417"/>
      <c r="M3" s="40"/>
      <c r="N3" s="40"/>
      <c r="O3" s="40"/>
      <c r="P3" s="43"/>
      <c r="Q3" s="425"/>
      <c r="R3" s="426"/>
      <c r="S3" s="419" t="e">
        <f aca="false">INDEX(PT_DIFFERENTIATION_NUM_TER,MATCH(B3,PT_DIFFERENTIATION_TER_ID,0))</f>
        <v>#N/A</v>
      </c>
      <c r="T3" s="427" t="s">
        <v>413</v>
      </c>
      <c r="U3" s="421"/>
      <c r="V3" s="422"/>
      <c r="W3" s="422"/>
      <c r="X3" s="422"/>
      <c r="Y3" s="422"/>
      <c r="Z3" s="422"/>
      <c r="AA3" s="422"/>
      <c r="AB3" s="422"/>
      <c r="AC3" s="422" t="e">
        <f aca="false">INDEX(PT_DIFFERENTIATION_TER,MATCH(B3,PT_DIFFERENTIATION_TER_ID,0))</f>
        <v>#N/A</v>
      </c>
      <c r="AD3" s="422"/>
      <c r="AE3" s="422"/>
      <c r="AF3" s="422"/>
      <c r="AG3" s="422"/>
      <c r="AH3" s="422"/>
      <c r="AI3" s="422"/>
      <c r="AJ3" s="422"/>
      <c r="AK3" s="424" t="s">
        <v>414</v>
      </c>
      <c r="AM3" s="117"/>
      <c r="AN3" s="117" t="str">
        <f aca="false">IF(T3="","",T3)</f>
        <v>Территория действия тарифа</v>
      </c>
      <c r="AO3" s="117"/>
      <c r="AP3" s="117"/>
    </row>
    <row r="4" customFormat="false" ht="23.25" hidden="true" customHeight="true" outlineLevel="0" collapsed="false">
      <c r="A4" s="415"/>
      <c r="B4" s="415"/>
      <c r="C4" s="415"/>
      <c r="D4" s="415"/>
      <c r="E4" s="416"/>
      <c r="F4" s="416"/>
      <c r="G4" s="416" t="n">
        <v>1</v>
      </c>
      <c r="H4" s="415"/>
      <c r="I4" s="415"/>
      <c r="J4" s="415"/>
      <c r="K4" s="415"/>
      <c r="L4" s="417"/>
      <c r="M4" s="40"/>
      <c r="N4" s="40"/>
      <c r="O4" s="40"/>
      <c r="P4" s="428"/>
      <c r="Q4" s="425"/>
      <c r="R4" s="426"/>
      <c r="S4" s="419" t="e">
        <f aca="false">INDEX(PT_DIFFERENTIATION_NUM_CS,MATCH(C4,PT_DIFFERENTIATION_CS_ID,0))</f>
        <v>#N/A</v>
      </c>
      <c r="T4" s="429" t="s">
        <v>495</v>
      </c>
      <c r="U4" s="421"/>
      <c r="V4" s="422"/>
      <c r="W4" s="422"/>
      <c r="X4" s="422"/>
      <c r="Y4" s="422"/>
      <c r="Z4" s="422"/>
      <c r="AA4" s="422"/>
      <c r="AB4" s="422"/>
      <c r="AC4" s="422" t="e">
        <f aca="false">INDEX(PT_DIFFERENTIATION_CS,MATCH(C4,PT_DIFFERENTIATION_CS_ID,0))</f>
        <v>#N/A</v>
      </c>
      <c r="AD4" s="422"/>
      <c r="AE4" s="422"/>
      <c r="AF4" s="422"/>
      <c r="AG4" s="422"/>
      <c r="AH4" s="422"/>
      <c r="AI4" s="422"/>
      <c r="AJ4" s="422"/>
      <c r="AK4" s="424" t="s">
        <v>496</v>
      </c>
      <c r="AM4" s="117"/>
      <c r="AN4" s="117" t="str">
        <f aca="false">IF(T4="","",T4)</f>
        <v>Наименование централизованной системы холодного водоснабжения</v>
      </c>
      <c r="AO4" s="117"/>
      <c r="AP4" s="117"/>
    </row>
    <row r="5" customFormat="false" ht="23.25" hidden="true" customHeight="true" outlineLevel="0" collapsed="false">
      <c r="A5" s="415"/>
      <c r="B5" s="415"/>
      <c r="C5" s="415"/>
      <c r="D5" s="415"/>
      <c r="E5" s="416"/>
      <c r="F5" s="416"/>
      <c r="G5" s="416"/>
      <c r="H5" s="560"/>
      <c r="I5" s="431" t="e">
        <f aca="false">S4&amp;".1"</f>
        <v>#N/A</v>
      </c>
      <c r="J5" s="415"/>
      <c r="K5" s="415"/>
      <c r="L5" s="417"/>
      <c r="P5" s="120" t="n">
        <v>1</v>
      </c>
      <c r="Q5" s="120"/>
      <c r="R5" s="432"/>
      <c r="S5" s="419" t="e">
        <f aca="false">$I5</f>
        <v>#N/A</v>
      </c>
      <c r="T5" s="433" t="s">
        <v>497</v>
      </c>
      <c r="U5" s="421"/>
      <c r="V5" s="561"/>
      <c r="W5" s="561"/>
      <c r="X5" s="561"/>
      <c r="Y5" s="561"/>
      <c r="Z5" s="561"/>
      <c r="AA5" s="561"/>
      <c r="AB5" s="561"/>
      <c r="AC5" s="245"/>
      <c r="AD5" s="245"/>
      <c r="AE5" s="245"/>
      <c r="AF5" s="245"/>
      <c r="AG5" s="245"/>
      <c r="AH5" s="245"/>
      <c r="AI5" s="245"/>
      <c r="AJ5" s="245"/>
      <c r="AK5" s="424" t="s">
        <v>498</v>
      </c>
      <c r="AM5" s="117"/>
      <c r="AN5" s="117" t="str">
        <f aca="false">IF(T5="","",T5)</f>
        <v>Наименование признака дифференциации</v>
      </c>
      <c r="AO5" s="117"/>
      <c r="AP5" s="117"/>
    </row>
    <row r="6" customFormat="false" ht="23.25" hidden="true" customHeight="true" outlineLevel="0" collapsed="false">
      <c r="A6" s="415"/>
      <c r="B6" s="415"/>
      <c r="C6" s="415"/>
      <c r="D6" s="415"/>
      <c r="E6" s="416"/>
      <c r="F6" s="416"/>
      <c r="G6" s="416"/>
      <c r="H6" s="416"/>
      <c r="I6" s="431"/>
      <c r="J6" s="431" t="e">
        <f aca="false">I5&amp;".1"</f>
        <v>#N/A</v>
      </c>
      <c r="K6" s="415"/>
      <c r="L6" s="417" t="s">
        <v>422</v>
      </c>
      <c r="P6" s="120"/>
      <c r="Q6" s="120" t="n">
        <v>1</v>
      </c>
      <c r="R6" s="435"/>
      <c r="S6" s="419" t="e">
        <f aca="false">$J6</f>
        <v>#N/A</v>
      </c>
      <c r="T6" s="436" t="s">
        <v>423</v>
      </c>
      <c r="U6" s="421"/>
      <c r="V6" s="434"/>
      <c r="W6" s="434"/>
      <c r="X6" s="434"/>
      <c r="Y6" s="434"/>
      <c r="Z6" s="434"/>
      <c r="AA6" s="434"/>
      <c r="AB6" s="434"/>
      <c r="AC6" s="434"/>
      <c r="AD6" s="434"/>
      <c r="AE6" s="434"/>
      <c r="AF6" s="434"/>
      <c r="AG6" s="434"/>
      <c r="AH6" s="434"/>
      <c r="AI6" s="434"/>
      <c r="AJ6" s="434"/>
      <c r="AK6" s="514" t="s">
        <v>499</v>
      </c>
      <c r="AM6" s="117"/>
      <c r="AN6" s="117" t="str">
        <f aca="false">IF(T6="","",T6)</f>
        <v>Группа потребителей</v>
      </c>
      <c r="AO6" s="117"/>
      <c r="AP6" s="117"/>
    </row>
    <row r="7" customFormat="false" ht="23.25" hidden="true" customHeight="true" outlineLevel="0" collapsed="false">
      <c r="A7" s="415"/>
      <c r="B7" s="415"/>
      <c r="C7" s="415"/>
      <c r="D7" s="415"/>
      <c r="E7" s="416"/>
      <c r="F7" s="416"/>
      <c r="G7" s="416"/>
      <c r="H7" s="416"/>
      <c r="I7" s="431"/>
      <c r="J7" s="431"/>
      <c r="K7" s="431" t="e">
        <f aca="false">J6&amp;".1"</f>
        <v>#N/A</v>
      </c>
      <c r="L7" s="417"/>
      <c r="P7" s="120"/>
      <c r="Q7" s="120"/>
      <c r="R7" s="435" t="n">
        <v>1</v>
      </c>
      <c r="S7" s="419" t="e">
        <f aca="false">$K7</f>
        <v>#N/A</v>
      </c>
      <c r="T7" s="562"/>
      <c r="U7" s="421"/>
      <c r="V7" s="438"/>
      <c r="W7" s="438"/>
      <c r="X7" s="440"/>
      <c r="Y7" s="441"/>
      <c r="Z7" s="203" t="s">
        <v>63</v>
      </c>
      <c r="AA7" s="441"/>
      <c r="AB7" s="203" t="s">
        <v>63</v>
      </c>
      <c r="AC7" s="438"/>
      <c r="AD7" s="438"/>
      <c r="AE7" s="440"/>
      <c r="AF7" s="441"/>
      <c r="AG7" s="203" t="s">
        <v>63</v>
      </c>
      <c r="AH7" s="441"/>
      <c r="AI7" s="203" t="s">
        <v>63</v>
      </c>
      <c r="AJ7" s="563"/>
      <c r="AK7" s="56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7"/>
      <c r="AN7" s="117" t="str">
        <f aca="false">IF(T7="","",T7)</f>
        <v/>
      </c>
      <c r="AO7" s="117"/>
      <c r="AP7" s="117"/>
    </row>
    <row r="8" customFormat="false" ht="14.25" hidden="true" customHeight="true" outlineLevel="0" collapsed="false">
      <c r="A8" s="415"/>
      <c r="B8" s="415"/>
      <c r="C8" s="415"/>
      <c r="D8" s="415"/>
      <c r="E8" s="416"/>
      <c r="F8" s="416"/>
      <c r="G8" s="416"/>
      <c r="H8" s="416"/>
      <c r="I8" s="431"/>
      <c r="J8" s="431"/>
      <c r="K8" s="431"/>
      <c r="L8" s="417"/>
      <c r="P8" s="120"/>
      <c r="Q8" s="120"/>
      <c r="R8" s="435"/>
      <c r="S8" s="396"/>
      <c r="T8" s="421"/>
      <c r="U8" s="421"/>
      <c r="V8" s="439"/>
      <c r="W8" s="439"/>
      <c r="X8" s="443" t="str">
        <f aca="false">Y7&amp;"-"&amp;AA7</f>
        <v>-</v>
      </c>
      <c r="Y8" s="441"/>
      <c r="Z8" s="203"/>
      <c r="AA8" s="441"/>
      <c r="AB8" s="203"/>
      <c r="AC8" s="439"/>
      <c r="AD8" s="439"/>
      <c r="AE8" s="443" t="str">
        <f aca="false">AF7&amp;"-"&amp;AH7</f>
        <v>-</v>
      </c>
      <c r="AF8" s="441"/>
      <c r="AG8" s="203"/>
      <c r="AH8" s="441"/>
      <c r="AI8" s="203"/>
      <c r="AJ8" s="565"/>
      <c r="AK8" s="564"/>
      <c r="AM8" s="117"/>
      <c r="AN8" s="117" t="str">
        <f aca="false">IF(T8="","",T8)</f>
        <v/>
      </c>
      <c r="AO8" s="117"/>
      <c r="AP8" s="117"/>
    </row>
    <row r="9" customFormat="false" ht="21" hidden="true" customHeight="true" outlineLevel="0" collapsed="false">
      <c r="A9" s="415"/>
      <c r="B9" s="415"/>
      <c r="C9" s="415"/>
      <c r="D9" s="415"/>
      <c r="E9" s="416"/>
      <c r="F9" s="416"/>
      <c r="G9" s="416"/>
      <c r="H9" s="416"/>
      <c r="I9" s="431"/>
      <c r="J9" s="431"/>
      <c r="K9" s="415"/>
      <c r="L9" s="417"/>
      <c r="P9" s="120"/>
      <c r="Q9" s="120"/>
      <c r="R9" s="432"/>
      <c r="S9" s="444"/>
      <c r="T9" s="447" t="s">
        <v>500</v>
      </c>
      <c r="U9" s="193"/>
      <c r="V9" s="193"/>
      <c r="W9" s="193"/>
      <c r="X9" s="193"/>
      <c r="Y9" s="193"/>
      <c r="Z9" s="193"/>
      <c r="AA9" s="193"/>
      <c r="AB9" s="193"/>
      <c r="AC9" s="193"/>
      <c r="AD9" s="193"/>
      <c r="AE9" s="193"/>
      <c r="AF9" s="193"/>
      <c r="AG9" s="193"/>
      <c r="AH9" s="193"/>
      <c r="AI9" s="193"/>
      <c r="AJ9" s="193"/>
      <c r="AK9" s="424" t="s">
        <v>501</v>
      </c>
      <c r="AM9" s="117"/>
      <c r="AN9" s="117" t="str">
        <f aca="false">IF(T9="","",T9)</f>
        <v>Добавить значение признака дифференциации</v>
      </c>
      <c r="AO9" s="117"/>
      <c r="AP9" s="117"/>
    </row>
    <row r="10" customFormat="false" ht="21" hidden="true" customHeight="true" outlineLevel="0" collapsed="false">
      <c r="A10" s="415"/>
      <c r="B10" s="415"/>
      <c r="C10" s="415"/>
      <c r="D10" s="415"/>
      <c r="E10" s="416"/>
      <c r="F10" s="416"/>
      <c r="G10" s="416"/>
      <c r="H10" s="416"/>
      <c r="I10" s="431"/>
      <c r="J10" s="415"/>
      <c r="K10" s="415"/>
      <c r="L10" s="417"/>
      <c r="P10" s="120"/>
      <c r="Q10" s="120"/>
      <c r="R10" s="432"/>
      <c r="S10" s="444"/>
      <c r="T10" s="451" t="s">
        <v>428</v>
      </c>
      <c r="U10" s="193"/>
      <c r="V10" s="193"/>
      <c r="W10" s="193"/>
      <c r="X10" s="193"/>
      <c r="Y10" s="193"/>
      <c r="Z10" s="193"/>
      <c r="AA10" s="193"/>
      <c r="AB10" s="448"/>
      <c r="AC10" s="193"/>
      <c r="AD10" s="193"/>
      <c r="AE10" s="193"/>
      <c r="AF10" s="193"/>
      <c r="AG10" s="193"/>
      <c r="AH10" s="193"/>
      <c r="AI10" s="448"/>
      <c r="AJ10" s="193"/>
      <c r="AK10" s="566"/>
      <c r="AM10" s="117"/>
      <c r="AN10" s="117" t="str">
        <f aca="false">IF(T10="","",T10)</f>
        <v>Добавить группу потребителей</v>
      </c>
      <c r="AO10" s="117"/>
      <c r="AP10" s="117"/>
    </row>
    <row r="11" customFormat="false" ht="14.25" hidden="true" customHeight="true" outlineLevel="0" collapsed="false">
      <c r="A11" s="415"/>
      <c r="B11" s="415"/>
      <c r="C11" s="415"/>
      <c r="D11" s="415"/>
      <c r="E11" s="416"/>
      <c r="F11" s="416"/>
      <c r="G11" s="416"/>
      <c r="H11" s="560"/>
      <c r="I11" s="415"/>
      <c r="J11" s="415"/>
      <c r="K11" s="415"/>
      <c r="L11" s="417"/>
      <c r="M11" s="40"/>
      <c r="N11" s="40"/>
      <c r="O11" s="45"/>
      <c r="P11" s="131"/>
      <c r="Q11" s="450"/>
      <c r="R11" s="418"/>
      <c r="S11" s="444"/>
      <c r="T11" s="567" t="s">
        <v>502</v>
      </c>
      <c r="U11" s="193"/>
      <c r="V11" s="193"/>
      <c r="W11" s="193"/>
      <c r="X11" s="193"/>
      <c r="Y11" s="193"/>
      <c r="Z11" s="193"/>
      <c r="AA11" s="193"/>
      <c r="AB11" s="448"/>
      <c r="AC11" s="193"/>
      <c r="AD11" s="193"/>
      <c r="AE11" s="193"/>
      <c r="AF11" s="193"/>
      <c r="AG11" s="193"/>
      <c r="AH11" s="193"/>
      <c r="AI11" s="448"/>
      <c r="AJ11" s="193"/>
      <c r="AK11" s="449"/>
      <c r="AM11" s="117"/>
      <c r="AN11" s="117" t="str">
        <f aca="false">IF(T11="","",T11)</f>
        <v>Добавить наименование признака дифференциации</v>
      </c>
      <c r="AO11" s="117"/>
      <c r="AP11" s="117"/>
    </row>
    <row r="12" s="47" customFormat="true" ht="14.25" hidden="true" customHeight="true" outlineLevel="0" collapsed="false">
      <c r="A12" s="121"/>
      <c r="B12" s="121"/>
      <c r="C12" s="121"/>
      <c r="D12" s="121"/>
      <c r="E12" s="416"/>
      <c r="F12" s="416"/>
      <c r="G12" s="121"/>
      <c r="H12" s="121"/>
      <c r="I12" s="121"/>
      <c r="J12" s="121"/>
      <c r="K12" s="121"/>
      <c r="L12" s="191"/>
      <c r="M12" s="456"/>
      <c r="N12" s="456"/>
      <c r="P12" s="155"/>
      <c r="Q12" s="452"/>
      <c r="R12" s="155"/>
      <c r="S12" s="457"/>
      <c r="T12" s="460" t="s">
        <v>261</v>
      </c>
      <c r="U12" s="459"/>
      <c r="V12" s="459"/>
      <c r="W12" s="459"/>
      <c r="X12" s="459"/>
      <c r="Y12" s="459"/>
      <c r="Z12" s="459"/>
      <c r="AA12" s="459"/>
      <c r="AB12" s="459"/>
      <c r="AC12" s="459"/>
      <c r="AD12" s="459"/>
      <c r="AE12" s="459"/>
      <c r="AF12" s="459"/>
      <c r="AG12" s="459"/>
      <c r="AH12" s="459"/>
      <c r="AI12" s="459"/>
      <c r="AJ12" s="459"/>
      <c r="AK12" s="459"/>
      <c r="AM12" s="117"/>
      <c r="AN12" s="117" t="str">
        <f aca="false">IF(T12="","",T12)</f>
        <v>Добавить централизованную систему для дифференциации</v>
      </c>
      <c r="AO12" s="117"/>
      <c r="AP12" s="117"/>
    </row>
    <row r="13" s="47" customFormat="true" ht="14.25" hidden="true" customHeight="true" outlineLevel="0" collapsed="false">
      <c r="A13" s="121"/>
      <c r="B13" s="121"/>
      <c r="C13" s="121"/>
      <c r="D13" s="121"/>
      <c r="E13" s="416"/>
      <c r="F13" s="121"/>
      <c r="G13" s="121"/>
      <c r="H13" s="121"/>
      <c r="I13" s="121"/>
      <c r="J13" s="121"/>
      <c r="K13" s="121"/>
      <c r="L13" s="191"/>
      <c r="M13" s="456"/>
      <c r="N13" s="456"/>
      <c r="P13" s="155"/>
      <c r="Q13" s="452"/>
      <c r="R13" s="155"/>
      <c r="S13" s="457"/>
      <c r="T13" s="460" t="s">
        <v>268</v>
      </c>
      <c r="U13" s="459"/>
      <c r="V13" s="459"/>
      <c r="W13" s="459"/>
      <c r="X13" s="459"/>
      <c r="Y13" s="459"/>
      <c r="Z13" s="459"/>
      <c r="AA13" s="459"/>
      <c r="AB13" s="459"/>
      <c r="AC13" s="459"/>
      <c r="AD13" s="459"/>
      <c r="AE13" s="459"/>
      <c r="AF13" s="459"/>
      <c r="AG13" s="459"/>
      <c r="AH13" s="459"/>
      <c r="AI13" s="459"/>
      <c r="AJ13" s="459"/>
      <c r="AK13" s="459"/>
      <c r="AM13" s="117"/>
      <c r="AN13" s="117" t="str">
        <f aca="false">IF(T13="","",T13)</f>
        <v>Добавить территорию для дифференциации</v>
      </c>
      <c r="AO13" s="117"/>
      <c r="AP13" s="117"/>
    </row>
    <row r="14" customFormat="false" ht="14.25" hidden="true" customHeight="true" outlineLevel="0" collapsed="false"/>
    <row r="15" customFormat="false" ht="14.25" hidden="true" customHeight="true" outlineLevel="0" collapsed="false">
      <c r="AC15" s="461"/>
      <c r="AD15" s="461"/>
      <c r="AE15" s="462"/>
      <c r="AF15" s="463"/>
      <c r="AG15" s="464" t="s">
        <v>63</v>
      </c>
      <c r="AH15" s="463"/>
      <c r="AI15" s="464" t="s">
        <v>63</v>
      </c>
    </row>
    <row r="16" customFormat="false" ht="14.25" hidden="true" customHeight="true" outlineLevel="0" collapsed="false">
      <c r="AC16" s="461"/>
      <c r="AD16" s="461"/>
      <c r="AE16" s="443" t="str">
        <f aca="false">AF15&amp;"-"&amp;AH15</f>
        <v>-</v>
      </c>
      <c r="AF16" s="463"/>
      <c r="AG16" s="463"/>
      <c r="AH16" s="463"/>
      <c r="AI16" s="463"/>
    </row>
    <row r="17" customFormat="false" ht="14.25" hidden="true" customHeight="true" outlineLevel="0" collapsed="false"/>
    <row r="18" s="45" customFormat="true" ht="22.5" hidden="true" customHeight="true" outlineLevel="0" collapsed="false">
      <c r="L18" s="44"/>
      <c r="M18" s="51"/>
      <c r="N18" s="51"/>
      <c r="O18" s="465" t="s">
        <v>431</v>
      </c>
      <c r="P18" s="51"/>
      <c r="Q18" s="466"/>
      <c r="R18" s="466"/>
      <c r="S18" s="40"/>
      <c r="Y18" s="465"/>
      <c r="AA18" s="465"/>
      <c r="AF18" s="465"/>
      <c r="AH18" s="465"/>
      <c r="AL18" s="47"/>
      <c r="AM18" s="47"/>
      <c r="AN18" s="47"/>
      <c r="AO18" s="47"/>
      <c r="AP18" s="47"/>
    </row>
    <row r="19" s="45" customFormat="true" ht="14.25" hidden="true" customHeight="true" outlineLevel="0" collapsed="false">
      <c r="L19" s="44"/>
      <c r="M19" s="51"/>
      <c r="N19" s="51"/>
      <c r="O19" s="51"/>
      <c r="P19" s="51"/>
      <c r="Q19" s="466"/>
      <c r="R19" s="466"/>
      <c r="S19" s="40"/>
      <c r="AL19" s="47"/>
      <c r="AM19" s="47"/>
      <c r="AN19" s="47"/>
      <c r="AO19" s="47"/>
      <c r="AP19" s="47"/>
    </row>
    <row r="20" s="45" customFormat="true" ht="12" hidden="true" customHeight="true" outlineLevel="0" collapsed="false">
      <c r="L20" s="44"/>
      <c r="M20" s="51"/>
      <c r="N20" s="51"/>
      <c r="O20" s="417" t="s">
        <v>432</v>
      </c>
      <c r="P20" s="51"/>
      <c r="Q20" s="568"/>
      <c r="R20" s="568"/>
      <c r="S20" s="40"/>
      <c r="T20" s="45" t="s">
        <v>433</v>
      </c>
      <c r="Z20" s="139" t="s">
        <v>434</v>
      </c>
      <c r="AB20" s="139" t="s">
        <v>435</v>
      </c>
      <c r="AC20" s="45" t="s">
        <v>433</v>
      </c>
      <c r="AG20" s="139" t="s">
        <v>436</v>
      </c>
      <c r="AI20" s="139" t="s">
        <v>435</v>
      </c>
    </row>
    <row r="21" customFormat="false" ht="14.25" hidden="true" customHeight="true" outlineLevel="0" collapsed="false">
      <c r="O21" s="417"/>
    </row>
    <row r="22" customFormat="false" ht="14.25" hidden="true" customHeight="true" outlineLevel="0" collapsed="false">
      <c r="O22" s="417"/>
    </row>
    <row r="23" customFormat="false" ht="14.25" hidden="false" customHeight="true" outlineLevel="0" collapsed="false">
      <c r="Q23" s="467"/>
      <c r="R23" s="467"/>
      <c r="S23" s="468"/>
      <c r="T23" s="79"/>
      <c r="U23" s="79"/>
    </row>
    <row r="24" customFormat="false" ht="14.25" hidden="false" customHeight="true" outlineLevel="0" collapsed="false">
      <c r="Q24" s="467"/>
      <c r="R24" s="467"/>
      <c r="S24" s="212"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
      <c r="U24" s="212"/>
      <c r="V24" s="212"/>
      <c r="W24" s="212"/>
      <c r="X24" s="212"/>
      <c r="Y24" s="212"/>
      <c r="Z24" s="212"/>
      <c r="AA24" s="212"/>
      <c r="AB24" s="212"/>
      <c r="AC24" s="212"/>
      <c r="AD24" s="212"/>
      <c r="AE24" s="212"/>
      <c r="AF24" s="212"/>
      <c r="AG24" s="212"/>
      <c r="AH24" s="212"/>
      <c r="AI24" s="214"/>
    </row>
    <row r="25" customFormat="false" ht="14.25" hidden="false" customHeight="true" outlineLevel="0" collapsed="false">
      <c r="Q25" s="467"/>
      <c r="R25" s="467"/>
      <c r="S25" s="265" t="str">
        <f aca="false">IF(org=0,"Не определено",org)</f>
        <v>ООО "Газпром теплоэнерго Ярославль"</v>
      </c>
      <c r="T25" s="265"/>
      <c r="U25" s="265"/>
      <c r="V25" s="265"/>
      <c r="W25" s="265"/>
      <c r="X25" s="265"/>
      <c r="Y25" s="265"/>
      <c r="Z25" s="265"/>
      <c r="AA25" s="265"/>
      <c r="AB25" s="265"/>
      <c r="AC25" s="265"/>
      <c r="AD25" s="265"/>
      <c r="AE25" s="265"/>
      <c r="AF25" s="265"/>
      <c r="AG25" s="265"/>
      <c r="AH25" s="265"/>
      <c r="AI25" s="214"/>
    </row>
    <row r="26" customFormat="false" ht="14.25" hidden="false" customHeight="true" outlineLevel="0" collapsed="false">
      <c r="Q26" s="467"/>
      <c r="R26" s="467"/>
      <c r="S26" s="468"/>
      <c r="T26" s="79"/>
      <c r="U26" s="79"/>
      <c r="V26" s="469"/>
      <c r="W26" s="469"/>
      <c r="X26" s="469"/>
      <c r="Y26" s="469"/>
      <c r="Z26" s="469"/>
      <c r="AA26" s="469"/>
      <c r="AB26" s="469"/>
      <c r="AC26" s="469"/>
      <c r="AD26" s="469"/>
      <c r="AE26" s="469"/>
      <c r="AF26" s="469"/>
      <c r="AG26" s="469"/>
      <c r="AH26" s="469"/>
      <c r="AI26" s="469"/>
    </row>
    <row r="27" s="174" customFormat="true" ht="25.5" hidden="false" customHeight="true" outlineLevel="0" collapsed="false">
      <c r="A27" s="139"/>
      <c r="B27" s="139"/>
      <c r="C27" s="139"/>
      <c r="D27" s="139"/>
      <c r="E27" s="139"/>
      <c r="F27" s="139"/>
      <c r="G27" s="139"/>
      <c r="H27" s="139"/>
      <c r="I27" s="139"/>
      <c r="J27" s="139"/>
      <c r="K27" s="139"/>
      <c r="L27" s="417"/>
      <c r="M27" s="139"/>
      <c r="N27" s="139"/>
      <c r="O27" s="139"/>
      <c r="S27" s="470" t="s">
        <v>37</v>
      </c>
      <c r="T27" s="470"/>
      <c r="U27" s="471"/>
      <c r="V27" s="472" t="str">
        <f aca="false">IF(TITLE_NAME_OR_PR_CHANGE="",IF(TITLE_NAME_OR_PR="","",TITLE_NAME_OR_PR),TITLE_NAME_OR_PR_CHANGE)</f>
        <v>Министерство тарифного регулирования Ярославской области</v>
      </c>
      <c r="W27" s="472"/>
      <c r="X27" s="472"/>
      <c r="Y27" s="472"/>
      <c r="Z27" s="472"/>
      <c r="AA27" s="472"/>
      <c r="AB27" s="42"/>
      <c r="AC27" s="472" t="str">
        <f aca="false">IF(TITLE_NAME_OR_PR_CHANGE="",IF(TITLE_NAME_OR_PR="","",TITLE_NAME_OR_PR),TITLE_NAME_OR_PR_CHANGE)</f>
        <v>Министерство тарифного регулирования Ярославской области</v>
      </c>
      <c r="AD27" s="472"/>
      <c r="AE27" s="472"/>
      <c r="AF27" s="472"/>
      <c r="AG27" s="472"/>
      <c r="AH27" s="472"/>
      <c r="AI27" s="42"/>
      <c r="AJ27" s="42"/>
      <c r="AK27" s="473"/>
      <c r="AL27" s="117"/>
      <c r="AM27" s="117"/>
      <c r="AN27" s="117"/>
      <c r="AO27" s="117"/>
      <c r="AP27" s="117"/>
    </row>
    <row r="28" s="174" customFormat="true" ht="18.75" hidden="false" customHeight="true" outlineLevel="0" collapsed="false">
      <c r="A28" s="139"/>
      <c r="B28" s="139"/>
      <c r="C28" s="139"/>
      <c r="D28" s="139"/>
      <c r="E28" s="139"/>
      <c r="F28" s="139"/>
      <c r="G28" s="139"/>
      <c r="H28" s="139"/>
      <c r="I28" s="139"/>
      <c r="J28" s="139"/>
      <c r="K28" s="139"/>
      <c r="L28" s="417"/>
      <c r="M28" s="139"/>
      <c r="N28" s="139"/>
      <c r="O28" s="139"/>
      <c r="S28" s="470" t="s">
        <v>437</v>
      </c>
      <c r="T28" s="470"/>
      <c r="U28" s="471"/>
      <c r="V28" s="474" t="str">
        <f aca="false">IF(TITLE_DATE_PR_CHANGE="",IF(TITLE_DATE_PR="","",TITLE_DATE_PR),TITLE_DATE_PR_CHANGE)</f>
        <v>45279.46460648148</v>
      </c>
      <c r="W28" s="474"/>
      <c r="X28" s="474"/>
      <c r="Y28" s="474"/>
      <c r="Z28" s="474"/>
      <c r="AA28" s="474"/>
      <c r="AB28" s="42"/>
      <c r="AC28" s="474" t="str">
        <f aca="false">IF(TITLE_DATE_PR_CHANGE="",IF(TITLE_DATE_PR="","",TITLE_DATE_PR),TITLE_DATE_PR_CHANGE)</f>
        <v>45279.46460648148</v>
      </c>
      <c r="AD28" s="474"/>
      <c r="AE28" s="474"/>
      <c r="AF28" s="474"/>
      <c r="AG28" s="474"/>
      <c r="AH28" s="474"/>
      <c r="AI28" s="42"/>
      <c r="AJ28" s="42"/>
      <c r="AK28" s="473"/>
      <c r="AL28" s="117"/>
      <c r="AM28" s="117"/>
      <c r="AN28" s="117"/>
      <c r="AO28" s="117"/>
      <c r="AP28" s="117"/>
    </row>
    <row r="29" s="174" customFormat="true" ht="18.75" hidden="false" customHeight="true" outlineLevel="0" collapsed="false">
      <c r="A29" s="139"/>
      <c r="B29" s="139"/>
      <c r="C29" s="139"/>
      <c r="D29" s="139"/>
      <c r="E29" s="139"/>
      <c r="F29" s="139"/>
      <c r="G29" s="139"/>
      <c r="H29" s="139"/>
      <c r="I29" s="139"/>
      <c r="J29" s="139"/>
      <c r="K29" s="139"/>
      <c r="L29" s="417"/>
      <c r="M29" s="139"/>
      <c r="N29" s="139"/>
      <c r="O29" s="139"/>
      <c r="S29" s="470" t="s">
        <v>438</v>
      </c>
      <c r="T29" s="470"/>
      <c r="U29" s="471"/>
      <c r="V29" s="472" t="str">
        <f aca="false">IF(TITLE_NUMBER_PR_CHANGE="",IF(TITLE_NUMBER_PR="","",TITLE_NUMBER_PR),TITLE_NUMBER_PR_CHANGE)</f>
        <v>403-гвс, 404-гвс, 406-гвс</v>
      </c>
      <c r="W29" s="472"/>
      <c r="X29" s="472"/>
      <c r="Y29" s="472"/>
      <c r="Z29" s="472"/>
      <c r="AA29" s="472"/>
      <c r="AB29" s="42"/>
      <c r="AC29" s="472" t="str">
        <f aca="false">IF(TITLE_NUMBER_PR_CHANGE="",IF(TITLE_NUMBER_PR="","",TITLE_NUMBER_PR),TITLE_NUMBER_PR_CHANGE)</f>
        <v>403-гвс, 404-гвс, 406-гвс</v>
      </c>
      <c r="AD29" s="472"/>
      <c r="AE29" s="472"/>
      <c r="AF29" s="472"/>
      <c r="AG29" s="472"/>
      <c r="AH29" s="472"/>
      <c r="AI29" s="42"/>
      <c r="AJ29" s="42"/>
      <c r="AK29" s="473"/>
      <c r="AL29" s="117"/>
      <c r="AM29" s="117"/>
      <c r="AN29" s="117"/>
      <c r="AO29" s="117"/>
      <c r="AP29" s="117"/>
    </row>
    <row r="30" s="174" customFormat="true" ht="18.75" hidden="false" customHeight="true" outlineLevel="0" collapsed="false">
      <c r="A30" s="139"/>
      <c r="B30" s="139"/>
      <c r="C30" s="139"/>
      <c r="D30" s="139"/>
      <c r="E30" s="139"/>
      <c r="F30" s="139"/>
      <c r="G30" s="139"/>
      <c r="H30" s="139"/>
      <c r="I30" s="139"/>
      <c r="J30" s="139"/>
      <c r="K30" s="139"/>
      <c r="L30" s="417"/>
      <c r="M30" s="139"/>
      <c r="N30" s="139"/>
      <c r="O30" s="139"/>
      <c r="S30" s="470" t="s">
        <v>39</v>
      </c>
      <c r="T30" s="470"/>
      <c r="U30" s="471"/>
      <c r="V30" s="472" t="str">
        <f aca="false">IF(TITLE_IST_PUB_CHANGE="",IF(TITLE_IST_PUB="","",TITLE_IST_PUB),TITLE_IST_PUB_CHANGE)</f>
        <v>официальный интернет- портал правовой информации www.pravo.gov.ru</v>
      </c>
      <c r="W30" s="472"/>
      <c r="X30" s="472"/>
      <c r="Y30" s="472"/>
      <c r="Z30" s="472"/>
      <c r="AA30" s="472"/>
      <c r="AB30" s="42"/>
      <c r="AC30" s="472" t="str">
        <f aca="false">IF(TITLE_IST_PUB_CHANGE="",IF(TITLE_IST_PUB="","",TITLE_IST_PUB),TITLE_IST_PUB_CHANGE)</f>
        <v>официальный интернет- портал правовой информации www.pravo.gov.ru</v>
      </c>
      <c r="AD30" s="472"/>
      <c r="AE30" s="472"/>
      <c r="AF30" s="472"/>
      <c r="AG30" s="472"/>
      <c r="AH30" s="472"/>
      <c r="AI30" s="42"/>
      <c r="AJ30" s="42"/>
      <c r="AK30" s="473"/>
      <c r="AL30" s="117"/>
      <c r="AM30" s="117"/>
      <c r="AN30" s="117"/>
      <c r="AO30" s="117"/>
      <c r="AP30" s="117"/>
    </row>
    <row r="31" customFormat="false" ht="14.25" hidden="true" customHeight="true" outlineLevel="0" collapsed="false">
      <c r="Q31" s="467"/>
      <c r="R31" s="467"/>
      <c r="S31" s="468"/>
      <c r="T31" s="79"/>
      <c r="U31" s="79"/>
      <c r="V31" s="469"/>
      <c r="W31" s="469"/>
      <c r="X31" s="469"/>
      <c r="Y31" s="469"/>
      <c r="Z31" s="469"/>
      <c r="AA31" s="469"/>
      <c r="AB31" s="469"/>
      <c r="AC31" s="469"/>
      <c r="AD31" s="469"/>
      <c r="AE31" s="469"/>
      <c r="AF31" s="469"/>
      <c r="AG31" s="469"/>
      <c r="AH31" s="469"/>
      <c r="AI31" s="469"/>
    </row>
    <row r="32" s="174" customFormat="true" ht="18.75" hidden="true" customHeight="true" outlineLevel="0" collapsed="false">
      <c r="A32" s="139"/>
      <c r="B32" s="139"/>
      <c r="C32" s="139"/>
      <c r="D32" s="139"/>
      <c r="E32" s="139"/>
      <c r="F32" s="139"/>
      <c r="G32" s="139"/>
      <c r="H32" s="139"/>
      <c r="I32" s="139"/>
      <c r="J32" s="139"/>
      <c r="K32" s="139"/>
      <c r="L32" s="417"/>
      <c r="M32" s="139"/>
      <c r="N32" s="139"/>
      <c r="O32" s="139"/>
      <c r="S32" s="470" t="s">
        <v>439</v>
      </c>
      <c r="T32" s="470"/>
      <c r="U32" s="471"/>
      <c r="V32" s="474" t="str">
        <f aca="false">IF(TITLE_DATE_PR_CHANGE="",IF(TITLE_DATE_PR="","",TITLE_DATE_PR),TITLE_DATE_PR_CHANGE)</f>
        <v>45279.46460648148</v>
      </c>
      <c r="W32" s="474"/>
      <c r="X32" s="474"/>
      <c r="Y32" s="474"/>
      <c r="Z32" s="474"/>
      <c r="AA32" s="474"/>
      <c r="AB32" s="42"/>
      <c r="AC32" s="474" t="str">
        <f aca="false">IF(TITLE_DATE_PR_CHANGE="",IF(TITLE_DATE_PR="","",TITLE_DATE_PR),TITLE_DATE_PR_CHANGE)</f>
        <v>45279.46460648148</v>
      </c>
      <c r="AD32" s="474"/>
      <c r="AE32" s="474"/>
      <c r="AF32" s="474"/>
      <c r="AG32" s="474"/>
      <c r="AH32" s="474"/>
      <c r="AI32" s="42"/>
      <c r="AJ32" s="42"/>
      <c r="AK32" s="473"/>
      <c r="AL32" s="117"/>
      <c r="AM32" s="117"/>
      <c r="AN32" s="117"/>
      <c r="AO32" s="117"/>
      <c r="AP32" s="117"/>
    </row>
    <row r="33" s="174" customFormat="true" ht="18.75" hidden="true" customHeight="true" outlineLevel="0" collapsed="false">
      <c r="A33" s="139"/>
      <c r="B33" s="139"/>
      <c r="C33" s="139"/>
      <c r="D33" s="139"/>
      <c r="E33" s="139"/>
      <c r="F33" s="139"/>
      <c r="G33" s="139"/>
      <c r="H33" s="139"/>
      <c r="I33" s="139"/>
      <c r="J33" s="139"/>
      <c r="K33" s="139"/>
      <c r="L33" s="417"/>
      <c r="M33" s="139"/>
      <c r="N33" s="139"/>
      <c r="O33" s="139"/>
      <c r="S33" s="470" t="s">
        <v>440</v>
      </c>
      <c r="T33" s="470"/>
      <c r="U33" s="471"/>
      <c r="V33" s="472" t="str">
        <f aca="false">IF(TITLE_NUMBER_PR_CHANGE="",IF(TITLE_NUMBER_PR="","",TITLE_NUMBER_PR),TITLE_NUMBER_PR_CHANGE)</f>
        <v>403-гвс, 404-гвс, 406-гвс</v>
      </c>
      <c r="W33" s="472"/>
      <c r="X33" s="472"/>
      <c r="Y33" s="472"/>
      <c r="Z33" s="472"/>
      <c r="AA33" s="472"/>
      <c r="AB33" s="42"/>
      <c r="AC33" s="472" t="str">
        <f aca="false">IF(TITLE_NUMBER_PR_CHANGE="",IF(TITLE_NUMBER_PR="","",TITLE_NUMBER_PR),TITLE_NUMBER_PR_CHANGE)</f>
        <v>403-гвс, 404-гвс, 406-гвс</v>
      </c>
      <c r="AD33" s="472"/>
      <c r="AE33" s="472"/>
      <c r="AF33" s="472"/>
      <c r="AG33" s="472"/>
      <c r="AH33" s="472"/>
      <c r="AI33" s="42"/>
      <c r="AJ33" s="42"/>
      <c r="AK33" s="473"/>
      <c r="AL33" s="117"/>
      <c r="AM33" s="117"/>
      <c r="AN33" s="117"/>
      <c r="AO33" s="117"/>
      <c r="AP33" s="117"/>
    </row>
    <row r="34" s="174" customFormat="true" ht="0.75" hidden="false" customHeight="true" outlineLevel="0" collapsed="false">
      <c r="A34" s="139"/>
      <c r="B34" s="139"/>
      <c r="C34" s="139"/>
      <c r="D34" s="139"/>
      <c r="E34" s="139"/>
      <c r="F34" s="139"/>
      <c r="G34" s="139"/>
      <c r="H34" s="139"/>
      <c r="I34" s="139"/>
      <c r="J34" s="139"/>
      <c r="K34" s="139"/>
      <c r="L34" s="417"/>
      <c r="M34" s="139"/>
      <c r="N34" s="139"/>
      <c r="O34" s="139"/>
      <c r="S34" s="42"/>
      <c r="T34" s="42"/>
      <c r="U34" s="127"/>
      <c r="V34" s="42"/>
      <c r="W34" s="42"/>
      <c r="X34" s="42"/>
      <c r="Y34" s="42"/>
      <c r="Z34" s="42"/>
      <c r="AA34" s="42"/>
      <c r="AB34" s="47" t="s">
        <v>441</v>
      </c>
      <c r="AC34" s="42"/>
      <c r="AD34" s="42"/>
      <c r="AE34" s="42"/>
      <c r="AF34" s="42"/>
      <c r="AG34" s="42"/>
      <c r="AH34" s="42"/>
      <c r="AI34" s="47" t="s">
        <v>441</v>
      </c>
      <c r="AL34" s="117"/>
      <c r="AM34" s="117"/>
      <c r="AN34" s="117"/>
      <c r="AO34" s="117"/>
      <c r="AP34" s="117"/>
    </row>
    <row r="35" customFormat="false" ht="14.25" hidden="false" customHeight="true" outlineLevel="0" collapsed="false">
      <c r="Q35" s="467"/>
      <c r="R35" s="467"/>
      <c r="S35" s="468"/>
      <c r="T35" s="79"/>
      <c r="U35" s="475"/>
      <c r="V35" s="476"/>
      <c r="W35" s="476"/>
      <c r="X35" s="476"/>
      <c r="Y35" s="476"/>
      <c r="Z35" s="476"/>
      <c r="AA35" s="476"/>
      <c r="AB35" s="476"/>
      <c r="AC35" s="476"/>
      <c r="AD35" s="476"/>
      <c r="AE35" s="476"/>
      <c r="AF35" s="476"/>
      <c r="AG35" s="476"/>
      <c r="AH35" s="476"/>
      <c r="AI35" s="476"/>
    </row>
    <row r="36" customFormat="false" ht="14.25" hidden="false" customHeight="true" outlineLevel="0" collapsed="false">
      <c r="Q36" s="467"/>
      <c r="R36" s="467"/>
      <c r="S36" s="133" t="s">
        <v>316</v>
      </c>
      <c r="T36" s="133"/>
      <c r="U36" s="133"/>
      <c r="V36" s="133"/>
      <c r="W36" s="133"/>
      <c r="X36" s="133"/>
      <c r="Y36" s="133"/>
      <c r="Z36" s="133"/>
      <c r="AA36" s="133"/>
      <c r="AB36" s="133"/>
      <c r="AC36" s="133"/>
      <c r="AD36" s="133"/>
      <c r="AE36" s="133"/>
      <c r="AF36" s="133"/>
      <c r="AG36" s="133"/>
      <c r="AH36" s="133"/>
      <c r="AI36" s="133"/>
      <c r="AJ36" s="133"/>
      <c r="AK36" s="133" t="s">
        <v>317</v>
      </c>
    </row>
    <row r="37" customFormat="false" ht="14.25" hidden="false" customHeight="true" outlineLevel="0" collapsed="false">
      <c r="Q37" s="467"/>
      <c r="R37" s="467"/>
      <c r="S37" s="477" t="s">
        <v>84</v>
      </c>
      <c r="T37" s="394" t="s">
        <v>442</v>
      </c>
      <c r="U37" s="478"/>
      <c r="V37" s="300" t="s">
        <v>443</v>
      </c>
      <c r="W37" s="300"/>
      <c r="X37" s="300"/>
      <c r="Y37" s="300"/>
      <c r="Z37" s="300"/>
      <c r="AA37" s="300"/>
      <c r="AB37" s="394" t="s">
        <v>444</v>
      </c>
      <c r="AC37" s="300" t="s">
        <v>443</v>
      </c>
      <c r="AD37" s="300"/>
      <c r="AE37" s="300"/>
      <c r="AF37" s="300"/>
      <c r="AG37" s="300"/>
      <c r="AH37" s="300"/>
      <c r="AI37" s="394" t="s">
        <v>445</v>
      </c>
      <c r="AJ37" s="479" t="s">
        <v>446</v>
      </c>
      <c r="AK37" s="133"/>
    </row>
    <row r="38" customFormat="false" ht="33.75" hidden="false" customHeight="true" outlineLevel="0" collapsed="false">
      <c r="Q38" s="467"/>
      <c r="R38" s="467"/>
      <c r="S38" s="477"/>
      <c r="T38" s="394"/>
      <c r="U38" s="480"/>
      <c r="V38" s="266" t="s">
        <v>503</v>
      </c>
      <c r="W38" s="133" t="s">
        <v>449</v>
      </c>
      <c r="X38" s="133"/>
      <c r="Y38" s="133" t="s">
        <v>450</v>
      </c>
      <c r="Z38" s="133"/>
      <c r="AA38" s="133"/>
      <c r="AB38" s="394"/>
      <c r="AC38" s="266" t="s">
        <v>503</v>
      </c>
      <c r="AD38" s="133" t="s">
        <v>449</v>
      </c>
      <c r="AE38" s="133"/>
      <c r="AF38" s="133" t="s">
        <v>450</v>
      </c>
      <c r="AG38" s="133"/>
      <c r="AH38" s="133"/>
      <c r="AI38" s="394"/>
      <c r="AJ38" s="479"/>
      <c r="AK38" s="133"/>
    </row>
    <row r="39" customFormat="false" ht="33.75" hidden="false" customHeight="true" outlineLevel="0" collapsed="false">
      <c r="A39" s="139"/>
      <c r="B39" s="139" t="s">
        <v>142</v>
      </c>
      <c r="C39" s="139" t="s">
        <v>143</v>
      </c>
      <c r="D39" s="139" t="s">
        <v>144</v>
      </c>
      <c r="E39" s="417" t="s">
        <v>451</v>
      </c>
      <c r="F39" s="417" t="s">
        <v>452</v>
      </c>
      <c r="G39" s="417" t="s">
        <v>453</v>
      </c>
      <c r="H39" s="417"/>
      <c r="I39" s="417" t="s">
        <v>504</v>
      </c>
      <c r="J39" s="417" t="s">
        <v>456</v>
      </c>
      <c r="K39" s="417" t="s">
        <v>505</v>
      </c>
      <c r="L39" s="417" t="s">
        <v>432</v>
      </c>
      <c r="Q39" s="467"/>
      <c r="R39" s="467"/>
      <c r="S39" s="477"/>
      <c r="T39" s="394"/>
      <c r="U39" s="481"/>
      <c r="V39" s="266" t="s">
        <v>506</v>
      </c>
      <c r="W39" s="184" t="s">
        <v>507</v>
      </c>
      <c r="X39" s="184" t="s">
        <v>508</v>
      </c>
      <c r="Y39" s="184" t="s">
        <v>460</v>
      </c>
      <c r="Z39" s="184" t="s">
        <v>461</v>
      </c>
      <c r="AA39" s="184"/>
      <c r="AB39" s="394"/>
      <c r="AC39" s="266" t="s">
        <v>506</v>
      </c>
      <c r="AD39" s="184" t="s">
        <v>507</v>
      </c>
      <c r="AE39" s="184" t="s">
        <v>508</v>
      </c>
      <c r="AF39" s="184" t="s">
        <v>460</v>
      </c>
      <c r="AG39" s="184" t="s">
        <v>461</v>
      </c>
      <c r="AH39" s="184"/>
      <c r="AI39" s="394"/>
      <c r="AJ39" s="479"/>
      <c r="AK39" s="133"/>
    </row>
    <row r="40" s="119" customFormat="true" ht="11.25" hidden="true" customHeight="true" outlineLevel="0" collapsed="false">
      <c r="A40" s="139"/>
      <c r="B40" s="139"/>
      <c r="C40" s="139"/>
      <c r="D40" s="139"/>
      <c r="E40" s="139"/>
      <c r="F40" s="139"/>
      <c r="G40" s="139"/>
      <c r="H40" s="139"/>
      <c r="I40" s="139"/>
      <c r="J40" s="139"/>
      <c r="K40" s="139"/>
      <c r="L40" s="417"/>
      <c r="M40" s="51"/>
      <c r="N40" s="51"/>
      <c r="O40" s="51"/>
      <c r="P40" s="482"/>
      <c r="Q40" s="483"/>
      <c r="R40" s="484" t="n">
        <v>1</v>
      </c>
      <c r="S40" s="485" t="s">
        <v>117</v>
      </c>
      <c r="T40" s="486" t="s">
        <v>99</v>
      </c>
      <c r="U40" s="487" t="str">
        <f aca="true">OFFSET(U40,0,-1)</f>
        <v>2</v>
      </c>
      <c r="V40" s="488" t="n">
        <f aca="true">OFFSET(V40,0,-1)+1</f>
        <v>3</v>
      </c>
      <c r="W40" s="488" t="n">
        <f aca="true">OFFSET(W40,0,-1)+1</f>
        <v>4</v>
      </c>
      <c r="X40" s="488" t="n">
        <f aca="true">OFFSET(X40,0,-1)+1</f>
        <v>5</v>
      </c>
      <c r="Y40" s="488" t="n">
        <f aca="true">OFFSET(Y40,0,-1)+1</f>
        <v>6</v>
      </c>
      <c r="Z40" s="488" t="n">
        <f aca="true">OFFSET(Z40,0,-1)+1</f>
        <v>7</v>
      </c>
      <c r="AA40" s="488"/>
      <c r="AB40" s="488" t="n">
        <f aca="true">OFFSET(AB40,0,-2)+1</f>
        <v>8</v>
      </c>
      <c r="AC40" s="488" t="n">
        <f aca="true">OFFSET(AC40,0,-1)+1</f>
        <v>9</v>
      </c>
      <c r="AD40" s="488" t="n">
        <f aca="true">OFFSET(AD40,0,-1)+1</f>
        <v>10</v>
      </c>
      <c r="AE40" s="488" t="n">
        <f aca="true">OFFSET(AE40,0,-1)+1</f>
        <v>11</v>
      </c>
      <c r="AF40" s="488" t="n">
        <f aca="true">OFFSET(AF40,0,-1)+1</f>
        <v>12</v>
      </c>
      <c r="AG40" s="488" t="n">
        <f aca="true">OFFSET(AG40,0,-1)+1</f>
        <v>13</v>
      </c>
      <c r="AH40" s="488"/>
      <c r="AI40" s="488" t="n">
        <f aca="true">OFFSET(AI40,0,-2)+1</f>
        <v>14</v>
      </c>
      <c r="AJ40" s="487" t="n">
        <f aca="true">OFFSET(AJ40,0,-1)</f>
        <v>14</v>
      </c>
      <c r="AK40" s="488" t="n">
        <f aca="true">OFFSET(AK40,0,-1)+1</f>
        <v>15</v>
      </c>
      <c r="AL40" s="47"/>
      <c r="AM40" s="47"/>
      <c r="AN40" s="47"/>
      <c r="AO40" s="47"/>
      <c r="AP40" s="47"/>
    </row>
    <row r="41" customFormat="false" ht="23.25" hidden="false" customHeight="true" outlineLevel="0" collapsed="false">
      <c r="A41" s="415" t="s">
        <v>231</v>
      </c>
      <c r="B41" s="415"/>
      <c r="C41" s="415"/>
      <c r="D41" s="415"/>
      <c r="E41" s="416" t="n">
        <v>1</v>
      </c>
      <c r="F41" s="415"/>
      <c r="G41" s="415"/>
      <c r="H41" s="415"/>
      <c r="I41" s="415"/>
      <c r="J41" s="415"/>
      <c r="K41" s="415"/>
      <c r="L41" s="417"/>
      <c r="M41" s="40"/>
      <c r="N41" s="40"/>
      <c r="O41" s="40"/>
      <c r="Q41" s="131"/>
      <c r="R41" s="418"/>
      <c r="S41" s="419" t="n">
        <f aca="false">INDEX(PT_DIFFERENTIATION_NUM_NTAR,MATCH(A41,PT_DIFFERENTIATION_NTAR_ID,0))</f>
        <v>0</v>
      </c>
      <c r="T41" s="420" t="s">
        <v>130</v>
      </c>
      <c r="U41" s="421"/>
      <c r="V41" s="422"/>
      <c r="W41" s="422"/>
      <c r="X41" s="422"/>
      <c r="Y41" s="422"/>
      <c r="Z41" s="422"/>
      <c r="AA41" s="422"/>
      <c r="AB41" s="422"/>
      <c r="AC41" s="422" t="str">
        <f aca="false">INDEX(PT_DIFFERENTIATION_NTAR,MATCH(A41,PT_DIFFERENTIATION_NTAR_ID,0))</f>
        <v/>
      </c>
      <c r="AD41" s="422"/>
      <c r="AE41" s="422"/>
      <c r="AF41" s="422"/>
      <c r="AG41" s="422"/>
      <c r="AH41" s="422"/>
      <c r="AI41" s="422"/>
      <c r="AJ41" s="422"/>
      <c r="AK41" s="42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7"/>
      <c r="AN41" s="117" t="str">
        <f aca="false">IF(T41="","",T41)</f>
        <v>Наименование тарифа</v>
      </c>
      <c r="AO41" s="117"/>
      <c r="AP41" s="117"/>
    </row>
    <row r="42" customFormat="false" ht="23.25" hidden="false" customHeight="true" outlineLevel="0" collapsed="false">
      <c r="A42" s="415" t="s">
        <v>231</v>
      </c>
      <c r="B42" s="415" t="s">
        <v>232</v>
      </c>
      <c r="C42" s="415"/>
      <c r="D42" s="415"/>
      <c r="E42" s="416"/>
      <c r="F42" s="416" t="n">
        <v>1</v>
      </c>
      <c r="G42" s="415"/>
      <c r="H42" s="415"/>
      <c r="I42" s="415"/>
      <c r="J42" s="415"/>
      <c r="K42" s="415"/>
      <c r="L42" s="417"/>
      <c r="M42" s="40"/>
      <c r="N42" s="40"/>
      <c r="O42" s="40"/>
      <c r="P42" s="43"/>
      <c r="Q42" s="425"/>
      <c r="R42" s="426"/>
      <c r="S42" s="419" t="str">
        <f aca="false">INDEX(PT_DIFFERENTIATION_NUM_TER,MATCH(B42,PT_DIFFERENTIATION_TER_ID,0))</f>
        <v>.</v>
      </c>
      <c r="T42" s="427" t="s">
        <v>413</v>
      </c>
      <c r="U42" s="421"/>
      <c r="V42" s="422"/>
      <c r="W42" s="422"/>
      <c r="X42" s="422"/>
      <c r="Y42" s="422"/>
      <c r="Z42" s="422"/>
      <c r="AA42" s="422"/>
      <c r="AB42" s="422"/>
      <c r="AC42" s="422" t="str">
        <f aca="false">INDEX(PT_DIFFERENTIATION_TER,MATCH(B42,PT_DIFFERENTIATION_TER_ID,0))</f>
        <v/>
      </c>
      <c r="AD42" s="422"/>
      <c r="AE42" s="422"/>
      <c r="AF42" s="422"/>
      <c r="AG42" s="422"/>
      <c r="AH42" s="422"/>
      <c r="AI42" s="422"/>
      <c r="AJ42" s="422"/>
      <c r="AK42" s="424" t="s">
        <v>414</v>
      </c>
      <c r="AM42" s="117"/>
      <c r="AN42" s="117" t="str">
        <f aca="false">IF(T42="","",T42)</f>
        <v>Территория действия тарифа</v>
      </c>
      <c r="AO42" s="117"/>
      <c r="AP42" s="117"/>
    </row>
    <row r="43" customFormat="false" ht="23.25" hidden="false" customHeight="true" outlineLevel="0" collapsed="false">
      <c r="A43" s="415" t="s">
        <v>231</v>
      </c>
      <c r="B43" s="415" t="s">
        <v>232</v>
      </c>
      <c r="C43" s="415" t="s">
        <v>233</v>
      </c>
      <c r="D43" s="415"/>
      <c r="E43" s="416"/>
      <c r="F43" s="416"/>
      <c r="G43" s="416" t="n">
        <v>1</v>
      </c>
      <c r="H43" s="415"/>
      <c r="I43" s="415"/>
      <c r="J43" s="415"/>
      <c r="K43" s="415"/>
      <c r="L43" s="417"/>
      <c r="M43" s="40"/>
      <c r="N43" s="40"/>
      <c r="O43" s="40"/>
      <c r="P43" s="428"/>
      <c r="Q43" s="425"/>
      <c r="R43" s="426"/>
      <c r="S43" s="419" t="str">
        <f aca="false">INDEX(PT_DIFFERENTIATION_NUM_CS,MATCH(C43,PT_DIFFERENTIATION_CS_ID,0))</f>
        <v>..</v>
      </c>
      <c r="T43" s="429" t="s">
        <v>495</v>
      </c>
      <c r="U43" s="421"/>
      <c r="V43" s="422"/>
      <c r="W43" s="422"/>
      <c r="X43" s="422"/>
      <c r="Y43" s="422"/>
      <c r="Z43" s="422"/>
      <c r="AA43" s="422"/>
      <c r="AB43" s="422"/>
      <c r="AC43" s="422" t="str">
        <f aca="false">INDEX(PT_DIFFERENTIATION_CS,MATCH(C43,PT_DIFFERENTIATION_CS_ID,0))</f>
        <v/>
      </c>
      <c r="AD43" s="422"/>
      <c r="AE43" s="422"/>
      <c r="AF43" s="422"/>
      <c r="AG43" s="422"/>
      <c r="AH43" s="422"/>
      <c r="AI43" s="422"/>
      <c r="AJ43" s="422"/>
      <c r="AK43" s="424" t="s">
        <v>496</v>
      </c>
      <c r="AM43" s="117"/>
      <c r="AN43" s="117" t="str">
        <f aca="false">IF(T43="","",T43)</f>
        <v>Наименование централизованной системы холодного водоснабжения</v>
      </c>
      <c r="AO43" s="117"/>
      <c r="AP43" s="117"/>
    </row>
    <row r="44" customFormat="false" ht="23.25" hidden="false" customHeight="true" outlineLevel="0" collapsed="false">
      <c r="A44" s="415" t="s">
        <v>231</v>
      </c>
      <c r="B44" s="415" t="s">
        <v>232</v>
      </c>
      <c r="C44" s="415" t="s">
        <v>233</v>
      </c>
      <c r="D44" s="415" t="s">
        <v>509</v>
      </c>
      <c r="E44" s="416"/>
      <c r="F44" s="416"/>
      <c r="G44" s="416"/>
      <c r="H44" s="560"/>
      <c r="I44" s="431" t="str">
        <f aca="false">S43&amp;".1"</f>
        <v>...1</v>
      </c>
      <c r="J44" s="415"/>
      <c r="K44" s="415"/>
      <c r="L44" s="417"/>
      <c r="P44" s="120" t="n">
        <v>1</v>
      </c>
      <c r="Q44" s="120"/>
      <c r="R44" s="432"/>
      <c r="S44" s="419" t="str">
        <f aca="false">$I44</f>
        <v>...1</v>
      </c>
      <c r="T44" s="433" t="s">
        <v>497</v>
      </c>
      <c r="U44" s="421"/>
      <c r="V44" s="561"/>
      <c r="W44" s="561"/>
      <c r="X44" s="561"/>
      <c r="Y44" s="561"/>
      <c r="Z44" s="561"/>
      <c r="AA44" s="561"/>
      <c r="AB44" s="561"/>
      <c r="AC44" s="245"/>
      <c r="AD44" s="245"/>
      <c r="AE44" s="245"/>
      <c r="AF44" s="245"/>
      <c r="AG44" s="245"/>
      <c r="AH44" s="245"/>
      <c r="AI44" s="245"/>
      <c r="AJ44" s="245"/>
      <c r="AK44" s="424" t="s">
        <v>498</v>
      </c>
      <c r="AM44" s="117"/>
      <c r="AN44" s="117" t="str">
        <f aca="false">IF(T44="","",T44)</f>
        <v>Наименование признака дифференциации</v>
      </c>
      <c r="AO44" s="117"/>
      <c r="AP44" s="117"/>
    </row>
    <row r="45" customFormat="false" ht="23.25" hidden="false" customHeight="true" outlineLevel="0" collapsed="false">
      <c r="A45" s="415" t="s">
        <v>231</v>
      </c>
      <c r="B45" s="415" t="s">
        <v>232</v>
      </c>
      <c r="C45" s="415" t="s">
        <v>233</v>
      </c>
      <c r="D45" s="415" t="s">
        <v>509</v>
      </c>
      <c r="E45" s="416"/>
      <c r="F45" s="416"/>
      <c r="G45" s="416"/>
      <c r="H45" s="416"/>
      <c r="I45" s="431"/>
      <c r="J45" s="431" t="str">
        <f aca="false">I44&amp;".1"</f>
        <v>...1.1</v>
      </c>
      <c r="K45" s="415"/>
      <c r="L45" s="417" t="s">
        <v>422</v>
      </c>
      <c r="P45" s="120"/>
      <c r="Q45" s="120" t="n">
        <v>1</v>
      </c>
      <c r="R45" s="435"/>
      <c r="S45" s="419" t="str">
        <f aca="false">$J45</f>
        <v>...1.1</v>
      </c>
      <c r="T45" s="436" t="s">
        <v>423</v>
      </c>
      <c r="U45" s="421"/>
      <c r="V45" s="434"/>
      <c r="W45" s="434"/>
      <c r="X45" s="434"/>
      <c r="Y45" s="434"/>
      <c r="Z45" s="434"/>
      <c r="AA45" s="434"/>
      <c r="AB45" s="434"/>
      <c r="AC45" s="434"/>
      <c r="AD45" s="434"/>
      <c r="AE45" s="434"/>
      <c r="AF45" s="434"/>
      <c r="AG45" s="434"/>
      <c r="AH45" s="434"/>
      <c r="AI45" s="434"/>
      <c r="AJ45" s="434"/>
      <c r="AK45" s="514" t="s">
        <v>499</v>
      </c>
      <c r="AM45" s="117"/>
      <c r="AN45" s="117" t="str">
        <f aca="false">IF(T45="","",T45)</f>
        <v>Группа потребителей</v>
      </c>
      <c r="AO45" s="117"/>
      <c r="AP45" s="117"/>
    </row>
    <row r="46" customFormat="false" ht="23.25" hidden="false" customHeight="true" outlineLevel="0" collapsed="false">
      <c r="A46" s="415" t="s">
        <v>231</v>
      </c>
      <c r="B46" s="415" t="s">
        <v>232</v>
      </c>
      <c r="C46" s="415" t="s">
        <v>233</v>
      </c>
      <c r="D46" s="415" t="s">
        <v>509</v>
      </c>
      <c r="E46" s="416"/>
      <c r="F46" s="416"/>
      <c r="G46" s="416"/>
      <c r="H46" s="416"/>
      <c r="I46" s="431"/>
      <c r="J46" s="431"/>
      <c r="K46" s="431" t="str">
        <f aca="false">J45&amp;".1"</f>
        <v>...1.1.1</v>
      </c>
      <c r="L46" s="417"/>
      <c r="P46" s="120"/>
      <c r="Q46" s="120"/>
      <c r="R46" s="435" t="n">
        <v>1</v>
      </c>
      <c r="S46" s="419" t="str">
        <f aca="false">$K46</f>
        <v>...1.1.1</v>
      </c>
      <c r="T46" s="562"/>
      <c r="U46" s="421"/>
      <c r="V46" s="461"/>
      <c r="W46" s="461"/>
      <c r="X46" s="462"/>
      <c r="Y46" s="463"/>
      <c r="Z46" s="464" t="s">
        <v>63</v>
      </c>
      <c r="AA46" s="463"/>
      <c r="AB46" s="464" t="s">
        <v>63</v>
      </c>
      <c r="AC46" s="438"/>
      <c r="AD46" s="438"/>
      <c r="AE46" s="440"/>
      <c r="AF46" s="441"/>
      <c r="AG46" s="203" t="s">
        <v>63</v>
      </c>
      <c r="AH46" s="441"/>
      <c r="AI46" s="203" t="s">
        <v>53</v>
      </c>
      <c r="AJ46" s="563"/>
      <c r="AK46" s="56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7"/>
      <c r="AN46" s="117" t="str">
        <f aca="false">IF(T46="","",T46)</f>
        <v/>
      </c>
      <c r="AO46" s="117"/>
      <c r="AP46" s="117"/>
    </row>
    <row r="47" customFormat="false" ht="12.8" hidden="false" customHeight="false" outlineLevel="0" collapsed="false">
      <c r="A47" s="415" t="s">
        <v>231</v>
      </c>
      <c r="B47" s="415" t="s">
        <v>232</v>
      </c>
      <c r="C47" s="415" t="s">
        <v>233</v>
      </c>
      <c r="D47" s="415" t="s">
        <v>509</v>
      </c>
      <c r="E47" s="416"/>
      <c r="F47" s="416"/>
      <c r="G47" s="416"/>
      <c r="H47" s="416"/>
      <c r="I47" s="431"/>
      <c r="J47" s="431"/>
      <c r="K47" s="431"/>
      <c r="L47" s="417"/>
      <c r="P47" s="120"/>
      <c r="Q47" s="120"/>
      <c r="R47" s="435"/>
      <c r="S47" s="396"/>
      <c r="T47" s="421"/>
      <c r="U47" s="421"/>
      <c r="V47" s="461"/>
      <c r="W47" s="461"/>
      <c r="X47" s="443" t="str">
        <f aca="false">Y46&amp;"-"&amp;AA46</f>
        <v>-</v>
      </c>
      <c r="Y47" s="463"/>
      <c r="Z47" s="463"/>
      <c r="AA47" s="463"/>
      <c r="AB47" s="463"/>
      <c r="AC47" s="439"/>
      <c r="AD47" s="439"/>
      <c r="AE47" s="443" t="str">
        <f aca="false">AF46&amp;"-"&amp;AH46</f>
        <v>-</v>
      </c>
      <c r="AF47" s="441"/>
      <c r="AG47" s="203"/>
      <c r="AH47" s="441"/>
      <c r="AI47" s="203"/>
      <c r="AJ47" s="565"/>
      <c r="AK47" s="564"/>
      <c r="AM47" s="117"/>
      <c r="AN47" s="117" t="str">
        <f aca="false">IF(T47="","",T47)</f>
        <v/>
      </c>
      <c r="AO47" s="117"/>
      <c r="AP47" s="117"/>
    </row>
    <row r="48" customFormat="false" ht="21" hidden="false" customHeight="true" outlineLevel="0" collapsed="false">
      <c r="A48" s="415" t="s">
        <v>231</v>
      </c>
      <c r="B48" s="415" t="s">
        <v>232</v>
      </c>
      <c r="C48" s="415" t="s">
        <v>233</v>
      </c>
      <c r="D48" s="415" t="s">
        <v>509</v>
      </c>
      <c r="E48" s="416"/>
      <c r="F48" s="416"/>
      <c r="G48" s="416"/>
      <c r="H48" s="416"/>
      <c r="I48" s="431"/>
      <c r="J48" s="431"/>
      <c r="K48" s="415"/>
      <c r="L48" s="417"/>
      <c r="P48" s="120"/>
      <c r="Q48" s="120"/>
      <c r="R48" s="432"/>
      <c r="S48" s="444"/>
      <c r="T48" s="447" t="s">
        <v>500</v>
      </c>
      <c r="U48" s="193"/>
      <c r="V48" s="193"/>
      <c r="W48" s="193"/>
      <c r="X48" s="193"/>
      <c r="Y48" s="193"/>
      <c r="Z48" s="193"/>
      <c r="AA48" s="193"/>
      <c r="AB48" s="193"/>
      <c r="AC48" s="193"/>
      <c r="AD48" s="193"/>
      <c r="AE48" s="193"/>
      <c r="AF48" s="193"/>
      <c r="AG48" s="193"/>
      <c r="AH48" s="193"/>
      <c r="AI48" s="193"/>
      <c r="AJ48" s="193"/>
      <c r="AK48" s="424" t="s">
        <v>501</v>
      </c>
      <c r="AM48" s="117"/>
      <c r="AN48" s="117" t="str">
        <f aca="false">IF(T48="","",T48)</f>
        <v>Добавить значение признака дифференциации</v>
      </c>
      <c r="AO48" s="117"/>
      <c r="AP48" s="117"/>
    </row>
    <row r="49" customFormat="false" ht="21" hidden="false" customHeight="true" outlineLevel="0" collapsed="false">
      <c r="A49" s="415" t="s">
        <v>231</v>
      </c>
      <c r="B49" s="415" t="s">
        <v>232</v>
      </c>
      <c r="C49" s="415" t="s">
        <v>233</v>
      </c>
      <c r="D49" s="415" t="s">
        <v>509</v>
      </c>
      <c r="E49" s="416"/>
      <c r="F49" s="416"/>
      <c r="G49" s="416"/>
      <c r="H49" s="416"/>
      <c r="I49" s="431"/>
      <c r="J49" s="415"/>
      <c r="K49" s="415"/>
      <c r="L49" s="417"/>
      <c r="P49" s="120"/>
      <c r="Q49" s="120"/>
      <c r="R49" s="432"/>
      <c r="S49" s="444"/>
      <c r="T49" s="451" t="s">
        <v>428</v>
      </c>
      <c r="U49" s="193"/>
      <c r="V49" s="193"/>
      <c r="W49" s="193"/>
      <c r="X49" s="193"/>
      <c r="Y49" s="193"/>
      <c r="Z49" s="193"/>
      <c r="AA49" s="193"/>
      <c r="AB49" s="448"/>
      <c r="AC49" s="193"/>
      <c r="AD49" s="193"/>
      <c r="AE49" s="193"/>
      <c r="AF49" s="193"/>
      <c r="AG49" s="193"/>
      <c r="AH49" s="193"/>
      <c r="AI49" s="448"/>
      <c r="AJ49" s="193"/>
      <c r="AK49" s="566"/>
      <c r="AM49" s="117"/>
      <c r="AN49" s="117" t="str">
        <f aca="false">IF(T49="","",T49)</f>
        <v>Добавить группу потребителей</v>
      </c>
      <c r="AO49" s="117"/>
      <c r="AP49" s="117"/>
    </row>
    <row r="50" customFormat="false" ht="21" hidden="false" customHeight="true" outlineLevel="0" collapsed="false">
      <c r="A50" s="415" t="s">
        <v>231</v>
      </c>
      <c r="B50" s="415" t="s">
        <v>232</v>
      </c>
      <c r="C50" s="415" t="s">
        <v>233</v>
      </c>
      <c r="D50" s="415" t="s">
        <v>509</v>
      </c>
      <c r="E50" s="416"/>
      <c r="F50" s="416"/>
      <c r="G50" s="416"/>
      <c r="H50" s="560"/>
      <c r="I50" s="415"/>
      <c r="J50" s="415"/>
      <c r="K50" s="415"/>
      <c r="L50" s="417"/>
      <c r="M50" s="40"/>
      <c r="N50" s="40"/>
      <c r="O50" s="45"/>
      <c r="P50" s="131"/>
      <c r="Q50" s="450"/>
      <c r="R50" s="418"/>
      <c r="S50" s="444"/>
      <c r="T50" s="567" t="s">
        <v>502</v>
      </c>
      <c r="U50" s="193"/>
      <c r="V50" s="193"/>
      <c r="W50" s="193"/>
      <c r="X50" s="193"/>
      <c r="Y50" s="193"/>
      <c r="Z50" s="193"/>
      <c r="AA50" s="193"/>
      <c r="AB50" s="448"/>
      <c r="AC50" s="193"/>
      <c r="AD50" s="193"/>
      <c r="AE50" s="193"/>
      <c r="AF50" s="193"/>
      <c r="AG50" s="193"/>
      <c r="AH50" s="193"/>
      <c r="AI50" s="448"/>
      <c r="AJ50" s="193"/>
      <c r="AK50" s="449"/>
      <c r="AM50" s="117"/>
      <c r="AN50" s="117" t="str">
        <f aca="false">IF(T50="","",T50)</f>
        <v>Добавить наименование признака дифференциации</v>
      </c>
      <c r="AO50" s="117"/>
      <c r="AP50" s="117"/>
    </row>
    <row r="51" s="47" customFormat="true" ht="12.8" hidden="false" customHeight="false" outlineLevel="0" collapsed="false">
      <c r="A51" s="121" t="s">
        <v>231</v>
      </c>
      <c r="B51" s="121" t="s">
        <v>232</v>
      </c>
      <c r="C51" s="121"/>
      <c r="D51" s="121"/>
      <c r="E51" s="416"/>
      <c r="F51" s="416"/>
      <c r="G51" s="121"/>
      <c r="H51" s="121"/>
      <c r="I51" s="121"/>
      <c r="J51" s="121"/>
      <c r="K51" s="121"/>
      <c r="L51" s="191"/>
      <c r="M51" s="456"/>
      <c r="N51" s="456"/>
      <c r="P51" s="155"/>
      <c r="Q51" s="452"/>
      <c r="R51" s="155"/>
      <c r="S51" s="457"/>
      <c r="T51" s="460" t="s">
        <v>261</v>
      </c>
      <c r="U51" s="459"/>
      <c r="V51" s="459"/>
      <c r="W51" s="459"/>
      <c r="X51" s="459"/>
      <c r="Y51" s="459"/>
      <c r="Z51" s="459"/>
      <c r="AA51" s="459"/>
      <c r="AB51" s="459"/>
      <c r="AC51" s="459"/>
      <c r="AD51" s="459"/>
      <c r="AE51" s="459"/>
      <c r="AF51" s="459"/>
      <c r="AG51" s="459"/>
      <c r="AH51" s="459"/>
      <c r="AI51" s="459"/>
      <c r="AJ51" s="459"/>
      <c r="AK51" s="459"/>
      <c r="AM51" s="117"/>
      <c r="AN51" s="117" t="str">
        <f aca="false">IF(T51="","",T51)</f>
        <v>Добавить централизованную систему для дифференциации</v>
      </c>
      <c r="AO51" s="117"/>
      <c r="AP51" s="117"/>
    </row>
    <row r="52" s="47" customFormat="true" ht="12.8" hidden="false" customHeight="false" outlineLevel="0" collapsed="false">
      <c r="A52" s="121" t="s">
        <v>231</v>
      </c>
      <c r="B52" s="121"/>
      <c r="C52" s="121"/>
      <c r="D52" s="121"/>
      <c r="E52" s="416"/>
      <c r="F52" s="121"/>
      <c r="G52" s="121"/>
      <c r="H52" s="121"/>
      <c r="I52" s="121"/>
      <c r="J52" s="121"/>
      <c r="K52" s="121"/>
      <c r="L52" s="191"/>
      <c r="M52" s="456"/>
      <c r="N52" s="456"/>
      <c r="P52" s="155"/>
      <c r="Q52" s="452"/>
      <c r="R52" s="155"/>
      <c r="S52" s="457"/>
      <c r="T52" s="460" t="s">
        <v>268</v>
      </c>
      <c r="U52" s="459"/>
      <c r="V52" s="459"/>
      <c r="W52" s="459"/>
      <c r="X52" s="459"/>
      <c r="Y52" s="459"/>
      <c r="Z52" s="459"/>
      <c r="AA52" s="459"/>
      <c r="AB52" s="459"/>
      <c r="AC52" s="459"/>
      <c r="AD52" s="459"/>
      <c r="AE52" s="459"/>
      <c r="AF52" s="459"/>
      <c r="AG52" s="459"/>
      <c r="AH52" s="459"/>
      <c r="AI52" s="459"/>
      <c r="AJ52" s="459"/>
      <c r="AK52" s="459"/>
      <c r="AM52" s="117"/>
      <c r="AN52" s="117" t="str">
        <f aca="false">IF(T52="","",T52)</f>
        <v>Добавить территорию для дифференциации</v>
      </c>
      <c r="AO52" s="117"/>
      <c r="AP52" s="117"/>
    </row>
    <row r="53" s="47" customFormat="true" ht="12.8" hidden="false" customHeight="false" outlineLevel="0" collapsed="false">
      <c r="A53" s="121"/>
      <c r="B53" s="121"/>
      <c r="C53" s="121"/>
      <c r="D53" s="121"/>
      <c r="E53" s="121"/>
      <c r="F53" s="121"/>
      <c r="G53" s="121"/>
      <c r="H53" s="121"/>
      <c r="I53" s="121"/>
      <c r="J53" s="121"/>
      <c r="K53" s="121"/>
      <c r="L53" s="191"/>
      <c r="M53" s="456"/>
      <c r="N53" s="456"/>
      <c r="P53" s="155"/>
      <c r="Q53" s="452"/>
      <c r="R53" s="155"/>
      <c r="S53" s="457"/>
      <c r="T53" s="460" t="s">
        <v>269</v>
      </c>
      <c r="U53" s="459"/>
      <c r="V53" s="459"/>
      <c r="W53" s="459"/>
      <c r="X53" s="459"/>
      <c r="Y53" s="459"/>
      <c r="Z53" s="459"/>
      <c r="AA53" s="459"/>
      <c r="AB53" s="459"/>
      <c r="AC53" s="459"/>
      <c r="AD53" s="459"/>
      <c r="AE53" s="459"/>
      <c r="AF53" s="459"/>
      <c r="AG53" s="459"/>
      <c r="AH53" s="459"/>
      <c r="AI53" s="459"/>
      <c r="AJ53" s="459"/>
      <c r="AK53" s="459"/>
      <c r="AM53" s="117"/>
      <c r="AN53" s="117" t="str">
        <f aca="false">IF(T53="","",T53)</f>
        <v>Добавить наименование тарифа</v>
      </c>
      <c r="AO53" s="117"/>
      <c r="AP53" s="117"/>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2"/>
      <c r="T55" s="491"/>
      <c r="U55" s="491"/>
      <c r="V55" s="491"/>
      <c r="W55" s="491"/>
      <c r="X55" s="491"/>
      <c r="Y55" s="491"/>
      <c r="Z55" s="491"/>
      <c r="AA55" s="491"/>
      <c r="AB55" s="491"/>
      <c r="AC55" s="491"/>
      <c r="AD55" s="491"/>
      <c r="AE55" s="491"/>
      <c r="AF55" s="491"/>
      <c r="AG55" s="491"/>
      <c r="AH55" s="491"/>
      <c r="AI55" s="491"/>
      <c r="AJ55" s="491"/>
      <c r="AK55" s="491"/>
    </row>
    <row r="56" customFormat="false" ht="14.25" hidden="false" customHeight="true" outlineLevel="0" collapsed="false">
      <c r="O56" s="45"/>
    </row>
    <row r="57" customFormat="false" ht="14.25" hidden="false" customHeight="true" outlineLevel="0" collapsed="false">
      <c r="O57" s="45"/>
      <c r="S57" s="412"/>
      <c r="T57" s="491"/>
      <c r="U57" s="491"/>
      <c r="V57" s="491"/>
      <c r="W57" s="491"/>
      <c r="X57" s="491"/>
      <c r="Y57" s="491"/>
      <c r="Z57" s="491"/>
      <c r="AA57" s="491"/>
      <c r="AB57" s="491"/>
      <c r="AC57" s="491"/>
      <c r="AD57" s="491"/>
      <c r="AE57" s="491"/>
      <c r="AF57" s="491"/>
      <c r="AG57" s="491"/>
      <c r="AH57" s="491"/>
      <c r="AI57" s="491"/>
      <c r="AJ57" s="491"/>
      <c r="AK57" s="491"/>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71"/>
    <col collapsed="false" customWidth="true" hidden="false" outlineLevel="0" max="18" min="17" style="414" width="3.71"/>
    <col collapsed="false" customWidth="true" hidden="false" outlineLevel="0" max="19" min="19" style="75" width="12.71"/>
    <col collapsed="false" customWidth="true" hidden="false" outlineLevel="0" max="20" min="20" style="42" width="35.71"/>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7" width="10.57"/>
    <col collapsed="false" customWidth="true" hidden="false" outlineLevel="0" max="40" min="40" style="47" width="11.14"/>
    <col collapsed="false" customWidth="false" hidden="false" outlineLevel="0" max="42" min="41" style="47" width="10.57"/>
  </cols>
  <sheetData>
    <row r="1" customFormat="false" ht="14.25" hidden="true" customHeight="true" outlineLevel="0" collapsed="false"/>
    <row r="2" customFormat="false" ht="23.25" hidden="true" customHeight="true" outlineLevel="0" collapsed="false">
      <c r="A2" s="415"/>
      <c r="B2" s="415"/>
      <c r="C2" s="415"/>
      <c r="D2" s="415"/>
      <c r="E2" s="416" t="n">
        <v>1</v>
      </c>
      <c r="F2" s="415"/>
      <c r="G2" s="415"/>
      <c r="H2" s="415"/>
      <c r="I2" s="415"/>
      <c r="J2" s="415"/>
      <c r="K2" s="415"/>
      <c r="L2" s="417"/>
      <c r="M2" s="40"/>
      <c r="N2" s="40"/>
      <c r="O2" s="40"/>
      <c r="Q2" s="131"/>
      <c r="R2" s="418"/>
      <c r="S2" s="419" t="e">
        <f aca="false">INDEX(PT_DIFFERENTIATION_NUM_NTAR,MATCH(A2,PT_DIFFERENTIATION_NTAR_ID,0))</f>
        <v>#N/A</v>
      </c>
      <c r="T2" s="420" t="s">
        <v>130</v>
      </c>
      <c r="U2" s="421"/>
      <c r="V2" s="422"/>
      <c r="W2" s="422"/>
      <c r="X2" s="422"/>
      <c r="Y2" s="422"/>
      <c r="Z2" s="422"/>
      <c r="AA2" s="422"/>
      <c r="AB2" s="422"/>
      <c r="AC2" s="422" t="e">
        <f aca="false">INDEX(PT_DIFFERENTIATION_NTAR,MATCH(A2,PT_DIFFERENTIATION_NTAR_ID,0))</f>
        <v>#N/A</v>
      </c>
      <c r="AD2" s="422"/>
      <c r="AE2" s="422"/>
      <c r="AF2" s="422"/>
      <c r="AG2" s="422"/>
      <c r="AH2" s="422"/>
      <c r="AI2" s="422"/>
      <c r="AJ2" s="422"/>
      <c r="AK2" s="42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7"/>
      <c r="AN2" s="117" t="str">
        <f aca="false">IF(T2="","",T2)</f>
        <v>Наименование тарифа</v>
      </c>
      <c r="AO2" s="117"/>
      <c r="AP2" s="117"/>
    </row>
    <row r="3" customFormat="false" ht="23.25" hidden="true" customHeight="true" outlineLevel="0" collapsed="false">
      <c r="A3" s="415"/>
      <c r="B3" s="415"/>
      <c r="C3" s="415"/>
      <c r="D3" s="415"/>
      <c r="E3" s="416"/>
      <c r="F3" s="416" t="n">
        <v>1</v>
      </c>
      <c r="G3" s="415"/>
      <c r="H3" s="415"/>
      <c r="I3" s="415"/>
      <c r="J3" s="415"/>
      <c r="K3" s="415"/>
      <c r="L3" s="417"/>
      <c r="M3" s="40"/>
      <c r="N3" s="40"/>
      <c r="O3" s="40"/>
      <c r="P3" s="43"/>
      <c r="Q3" s="425"/>
      <c r="R3" s="426"/>
      <c r="S3" s="419" t="e">
        <f aca="false">INDEX(PT_DIFFERENTIATION_NUM_TER,MATCH(B3,PT_DIFFERENTIATION_TER_ID,0))</f>
        <v>#N/A</v>
      </c>
      <c r="T3" s="427" t="s">
        <v>413</v>
      </c>
      <c r="U3" s="421"/>
      <c r="V3" s="422"/>
      <c r="W3" s="422"/>
      <c r="X3" s="422"/>
      <c r="Y3" s="422"/>
      <c r="Z3" s="422"/>
      <c r="AA3" s="422"/>
      <c r="AB3" s="422"/>
      <c r="AC3" s="422" t="e">
        <f aca="false">INDEX(PT_DIFFERENTIATION_TER,MATCH(B3,PT_DIFFERENTIATION_TER_ID,0))</f>
        <v>#N/A</v>
      </c>
      <c r="AD3" s="422"/>
      <c r="AE3" s="422"/>
      <c r="AF3" s="422"/>
      <c r="AG3" s="422"/>
      <c r="AH3" s="422"/>
      <c r="AI3" s="422"/>
      <c r="AJ3" s="422"/>
      <c r="AK3" s="424" t="s">
        <v>414</v>
      </c>
      <c r="AM3" s="117"/>
      <c r="AN3" s="117" t="str">
        <f aca="false">IF(T3="","",T3)</f>
        <v>Территория действия тарифа</v>
      </c>
      <c r="AO3" s="117"/>
      <c r="AP3" s="117"/>
    </row>
    <row r="4" customFormat="false" ht="23.25" hidden="true" customHeight="true" outlineLevel="0" collapsed="false">
      <c r="A4" s="415"/>
      <c r="B4" s="415"/>
      <c r="C4" s="415"/>
      <c r="D4" s="415"/>
      <c r="E4" s="416"/>
      <c r="F4" s="416"/>
      <c r="G4" s="416" t="n">
        <v>1</v>
      </c>
      <c r="H4" s="415"/>
      <c r="I4" s="415"/>
      <c r="J4" s="415"/>
      <c r="K4" s="415"/>
      <c r="L4" s="417"/>
      <c r="M4" s="40"/>
      <c r="N4" s="40"/>
      <c r="O4" s="40"/>
      <c r="P4" s="428"/>
      <c r="Q4" s="425"/>
      <c r="R4" s="426"/>
      <c r="S4" s="419" t="e">
        <f aca="false">INDEX(PT_DIFFERENTIATION_NUM_CS,MATCH(C4,PT_DIFFERENTIATION_CS_ID,0))</f>
        <v>#N/A</v>
      </c>
      <c r="T4" s="429" t="s">
        <v>495</v>
      </c>
      <c r="U4" s="421"/>
      <c r="V4" s="422"/>
      <c r="W4" s="422"/>
      <c r="X4" s="422"/>
      <c r="Y4" s="422"/>
      <c r="Z4" s="422"/>
      <c r="AA4" s="422"/>
      <c r="AB4" s="422"/>
      <c r="AC4" s="422" t="e">
        <f aca="false">INDEX(PT_DIFFERENTIATION_CS,MATCH(C4,PT_DIFFERENTIATION_CS_ID,0))</f>
        <v>#N/A</v>
      </c>
      <c r="AD4" s="422"/>
      <c r="AE4" s="422"/>
      <c r="AF4" s="422"/>
      <c r="AG4" s="422"/>
      <c r="AH4" s="422"/>
      <c r="AI4" s="422"/>
      <c r="AJ4" s="422"/>
      <c r="AK4" s="424" t="s">
        <v>496</v>
      </c>
      <c r="AM4" s="117"/>
      <c r="AN4" s="117" t="str">
        <f aca="false">IF(T4="","",T4)</f>
        <v>Наименование централизованной системы холодного водоснабжения</v>
      </c>
      <c r="AO4" s="117"/>
      <c r="AP4" s="117"/>
    </row>
    <row r="5" customFormat="false" ht="23.25" hidden="true" customHeight="true" outlineLevel="0" collapsed="false">
      <c r="A5" s="415"/>
      <c r="B5" s="415"/>
      <c r="C5" s="415"/>
      <c r="D5" s="415"/>
      <c r="E5" s="416"/>
      <c r="F5" s="416"/>
      <c r="G5" s="416"/>
      <c r="H5" s="560"/>
      <c r="I5" s="431" t="e">
        <f aca="false">S4&amp;".1"</f>
        <v>#N/A</v>
      </c>
      <c r="J5" s="415"/>
      <c r="K5" s="415"/>
      <c r="L5" s="417"/>
      <c r="P5" s="120" t="n">
        <v>1</v>
      </c>
      <c r="Q5" s="120"/>
      <c r="R5" s="432"/>
      <c r="S5" s="419" t="e">
        <f aca="false">$I5</f>
        <v>#N/A</v>
      </c>
      <c r="T5" s="433" t="s">
        <v>497</v>
      </c>
      <c r="U5" s="421"/>
      <c r="V5" s="561"/>
      <c r="W5" s="561"/>
      <c r="X5" s="561"/>
      <c r="Y5" s="561"/>
      <c r="Z5" s="561"/>
      <c r="AA5" s="561"/>
      <c r="AB5" s="561"/>
      <c r="AC5" s="245"/>
      <c r="AD5" s="245"/>
      <c r="AE5" s="245"/>
      <c r="AF5" s="245"/>
      <c r="AG5" s="245"/>
      <c r="AH5" s="245"/>
      <c r="AI5" s="245"/>
      <c r="AJ5" s="245"/>
      <c r="AK5" s="424" t="s">
        <v>498</v>
      </c>
      <c r="AM5" s="117"/>
      <c r="AN5" s="117" t="str">
        <f aca="false">IF(T5="","",T5)</f>
        <v>Наименование признака дифференциации</v>
      </c>
      <c r="AO5" s="117"/>
      <c r="AP5" s="117"/>
    </row>
    <row r="6" customFormat="false" ht="23.25" hidden="true" customHeight="true" outlineLevel="0" collapsed="false">
      <c r="A6" s="415"/>
      <c r="B6" s="415"/>
      <c r="C6" s="415"/>
      <c r="D6" s="415"/>
      <c r="E6" s="416"/>
      <c r="F6" s="416"/>
      <c r="G6" s="416"/>
      <c r="H6" s="416"/>
      <c r="I6" s="431"/>
      <c r="J6" s="431" t="e">
        <f aca="false">I5&amp;".1"</f>
        <v>#N/A</v>
      </c>
      <c r="K6" s="415"/>
      <c r="L6" s="417" t="s">
        <v>422</v>
      </c>
      <c r="P6" s="120"/>
      <c r="Q6" s="120" t="n">
        <v>1</v>
      </c>
      <c r="R6" s="435"/>
      <c r="S6" s="419" t="e">
        <f aca="false">$J6</f>
        <v>#N/A</v>
      </c>
      <c r="T6" s="436" t="s">
        <v>423</v>
      </c>
      <c r="U6" s="421"/>
      <c r="V6" s="434"/>
      <c r="W6" s="434"/>
      <c r="X6" s="434"/>
      <c r="Y6" s="434"/>
      <c r="Z6" s="434"/>
      <c r="AA6" s="434"/>
      <c r="AB6" s="434"/>
      <c r="AC6" s="434"/>
      <c r="AD6" s="434"/>
      <c r="AE6" s="434"/>
      <c r="AF6" s="434"/>
      <c r="AG6" s="434"/>
      <c r="AH6" s="434"/>
      <c r="AI6" s="434"/>
      <c r="AJ6" s="434"/>
      <c r="AK6" s="514" t="s">
        <v>499</v>
      </c>
      <c r="AM6" s="117"/>
      <c r="AN6" s="117" t="str">
        <f aca="false">IF(T6="","",T6)</f>
        <v>Группа потребителей</v>
      </c>
      <c r="AO6" s="117"/>
      <c r="AP6" s="117"/>
    </row>
    <row r="7" customFormat="false" ht="23.25" hidden="true" customHeight="true" outlineLevel="0" collapsed="false">
      <c r="A7" s="415"/>
      <c r="B7" s="415"/>
      <c r="C7" s="415"/>
      <c r="D7" s="415"/>
      <c r="E7" s="416"/>
      <c r="F7" s="416"/>
      <c r="G7" s="416"/>
      <c r="H7" s="416"/>
      <c r="I7" s="431"/>
      <c r="J7" s="431"/>
      <c r="K7" s="431" t="e">
        <f aca="false">J6&amp;".1"</f>
        <v>#N/A</v>
      </c>
      <c r="L7" s="417"/>
      <c r="P7" s="120"/>
      <c r="Q7" s="120"/>
      <c r="R7" s="435" t="n">
        <v>1</v>
      </c>
      <c r="S7" s="419" t="e">
        <f aca="false">$K7</f>
        <v>#N/A</v>
      </c>
      <c r="T7" s="562"/>
      <c r="U7" s="421"/>
      <c r="V7" s="438"/>
      <c r="W7" s="438"/>
      <c r="X7" s="440"/>
      <c r="Y7" s="441"/>
      <c r="Z7" s="203" t="s">
        <v>63</v>
      </c>
      <c r="AA7" s="441"/>
      <c r="AB7" s="203" t="s">
        <v>63</v>
      </c>
      <c r="AC7" s="438"/>
      <c r="AD7" s="438"/>
      <c r="AE7" s="440"/>
      <c r="AF7" s="441"/>
      <c r="AG7" s="203" t="s">
        <v>63</v>
      </c>
      <c r="AH7" s="441"/>
      <c r="AI7" s="203" t="s">
        <v>63</v>
      </c>
      <c r="AJ7" s="563"/>
      <c r="AK7" s="56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7"/>
      <c r="AN7" s="117" t="str">
        <f aca="false">IF(T7="","",T7)</f>
        <v/>
      </c>
      <c r="AO7" s="117"/>
      <c r="AP7" s="117"/>
    </row>
    <row r="8" customFormat="false" ht="14.25" hidden="true" customHeight="true" outlineLevel="0" collapsed="false">
      <c r="A8" s="415"/>
      <c r="B8" s="415"/>
      <c r="C8" s="415"/>
      <c r="D8" s="415"/>
      <c r="E8" s="416"/>
      <c r="F8" s="416"/>
      <c r="G8" s="416"/>
      <c r="H8" s="416"/>
      <c r="I8" s="431"/>
      <c r="J8" s="431"/>
      <c r="K8" s="431"/>
      <c r="L8" s="417"/>
      <c r="P8" s="120"/>
      <c r="Q8" s="120"/>
      <c r="R8" s="435"/>
      <c r="S8" s="396"/>
      <c r="T8" s="421"/>
      <c r="U8" s="421"/>
      <c r="V8" s="439"/>
      <c r="W8" s="439"/>
      <c r="X8" s="443" t="str">
        <f aca="false">Y7&amp;"-"&amp;AA7</f>
        <v>-</v>
      </c>
      <c r="Y8" s="441"/>
      <c r="Z8" s="203"/>
      <c r="AA8" s="441"/>
      <c r="AB8" s="203"/>
      <c r="AC8" s="439"/>
      <c r="AD8" s="439"/>
      <c r="AE8" s="443" t="str">
        <f aca="false">AF7&amp;"-"&amp;AH7</f>
        <v>-</v>
      </c>
      <c r="AF8" s="441"/>
      <c r="AG8" s="203"/>
      <c r="AH8" s="441"/>
      <c r="AI8" s="203"/>
      <c r="AJ8" s="565"/>
      <c r="AK8" s="564"/>
      <c r="AM8" s="117"/>
      <c r="AN8" s="117" t="str">
        <f aca="false">IF(T8="","",T8)</f>
        <v/>
      </c>
      <c r="AO8" s="117"/>
      <c r="AP8" s="117"/>
    </row>
    <row r="9" customFormat="false" ht="21" hidden="true" customHeight="true" outlineLevel="0" collapsed="false">
      <c r="A9" s="415"/>
      <c r="B9" s="415"/>
      <c r="C9" s="415"/>
      <c r="D9" s="415"/>
      <c r="E9" s="416"/>
      <c r="F9" s="416"/>
      <c r="G9" s="416"/>
      <c r="H9" s="416"/>
      <c r="I9" s="431"/>
      <c r="J9" s="431"/>
      <c r="K9" s="415"/>
      <c r="L9" s="417"/>
      <c r="P9" s="120"/>
      <c r="Q9" s="120"/>
      <c r="R9" s="432"/>
      <c r="S9" s="444"/>
      <c r="T9" s="447" t="s">
        <v>500</v>
      </c>
      <c r="U9" s="193"/>
      <c r="V9" s="193"/>
      <c r="W9" s="193"/>
      <c r="X9" s="193"/>
      <c r="Y9" s="193"/>
      <c r="Z9" s="193"/>
      <c r="AA9" s="193"/>
      <c r="AB9" s="193"/>
      <c r="AC9" s="193"/>
      <c r="AD9" s="193"/>
      <c r="AE9" s="193"/>
      <c r="AF9" s="193"/>
      <c r="AG9" s="193"/>
      <c r="AH9" s="193"/>
      <c r="AI9" s="193"/>
      <c r="AJ9" s="193"/>
      <c r="AK9" s="424" t="s">
        <v>501</v>
      </c>
      <c r="AM9" s="117"/>
      <c r="AN9" s="117" t="str">
        <f aca="false">IF(T9="","",T9)</f>
        <v>Добавить значение признака дифференциации</v>
      </c>
      <c r="AO9" s="117"/>
      <c r="AP9" s="117"/>
    </row>
    <row r="10" customFormat="false" ht="21" hidden="true" customHeight="true" outlineLevel="0" collapsed="false">
      <c r="A10" s="415"/>
      <c r="B10" s="415"/>
      <c r="C10" s="415"/>
      <c r="D10" s="415"/>
      <c r="E10" s="416"/>
      <c r="F10" s="416"/>
      <c r="G10" s="416"/>
      <c r="H10" s="416"/>
      <c r="I10" s="431"/>
      <c r="J10" s="415"/>
      <c r="K10" s="415"/>
      <c r="L10" s="417"/>
      <c r="P10" s="120"/>
      <c r="Q10" s="120"/>
      <c r="R10" s="432"/>
      <c r="S10" s="444"/>
      <c r="T10" s="451" t="s">
        <v>428</v>
      </c>
      <c r="U10" s="193"/>
      <c r="V10" s="193"/>
      <c r="W10" s="193"/>
      <c r="X10" s="193"/>
      <c r="Y10" s="193"/>
      <c r="Z10" s="193"/>
      <c r="AA10" s="193"/>
      <c r="AB10" s="448"/>
      <c r="AC10" s="193"/>
      <c r="AD10" s="193"/>
      <c r="AE10" s="193"/>
      <c r="AF10" s="193"/>
      <c r="AG10" s="193"/>
      <c r="AH10" s="193"/>
      <c r="AI10" s="448"/>
      <c r="AJ10" s="193"/>
      <c r="AK10" s="566"/>
      <c r="AM10" s="117"/>
      <c r="AN10" s="117" t="str">
        <f aca="false">IF(T10="","",T10)</f>
        <v>Добавить группу потребителей</v>
      </c>
      <c r="AO10" s="117"/>
      <c r="AP10" s="117"/>
    </row>
    <row r="11" customFormat="false" ht="21" hidden="true" customHeight="true" outlineLevel="0" collapsed="false">
      <c r="A11" s="415"/>
      <c r="B11" s="415"/>
      <c r="C11" s="415"/>
      <c r="D11" s="415"/>
      <c r="E11" s="416"/>
      <c r="F11" s="416"/>
      <c r="G11" s="416"/>
      <c r="H11" s="560"/>
      <c r="I11" s="415"/>
      <c r="J11" s="415"/>
      <c r="K11" s="415"/>
      <c r="L11" s="417"/>
      <c r="M11" s="40"/>
      <c r="N11" s="40"/>
      <c r="O11" s="45"/>
      <c r="P11" s="131"/>
      <c r="Q11" s="450"/>
      <c r="R11" s="418"/>
      <c r="S11" s="444"/>
      <c r="T11" s="567" t="s">
        <v>502</v>
      </c>
      <c r="U11" s="193"/>
      <c r="V11" s="193"/>
      <c r="W11" s="193"/>
      <c r="X11" s="193"/>
      <c r="Y11" s="193"/>
      <c r="Z11" s="193"/>
      <c r="AA11" s="193"/>
      <c r="AB11" s="448"/>
      <c r="AC11" s="193"/>
      <c r="AD11" s="193"/>
      <c r="AE11" s="193"/>
      <c r="AF11" s="193"/>
      <c r="AG11" s="193"/>
      <c r="AH11" s="193"/>
      <c r="AI11" s="448"/>
      <c r="AJ11" s="193"/>
      <c r="AK11" s="449"/>
      <c r="AM11" s="117"/>
      <c r="AN11" s="117" t="str">
        <f aca="false">IF(T11="","",T11)</f>
        <v>Добавить наименование признака дифференциации</v>
      </c>
      <c r="AO11" s="117"/>
      <c r="AP11" s="117"/>
    </row>
    <row r="12" s="47" customFormat="true" ht="14.25" hidden="true" customHeight="true" outlineLevel="0" collapsed="false">
      <c r="A12" s="121"/>
      <c r="B12" s="121"/>
      <c r="C12" s="121"/>
      <c r="D12" s="121"/>
      <c r="E12" s="416"/>
      <c r="F12" s="416"/>
      <c r="G12" s="121"/>
      <c r="H12" s="121"/>
      <c r="I12" s="121"/>
      <c r="J12" s="121"/>
      <c r="K12" s="121"/>
      <c r="L12" s="191"/>
      <c r="M12" s="456"/>
      <c r="N12" s="456"/>
      <c r="P12" s="155"/>
      <c r="Q12" s="452"/>
      <c r="R12" s="155"/>
      <c r="S12" s="457"/>
      <c r="T12" s="460" t="s">
        <v>261</v>
      </c>
      <c r="U12" s="459"/>
      <c r="V12" s="459"/>
      <c r="W12" s="459"/>
      <c r="X12" s="459"/>
      <c r="Y12" s="459"/>
      <c r="Z12" s="459"/>
      <c r="AA12" s="459"/>
      <c r="AB12" s="459"/>
      <c r="AC12" s="459"/>
      <c r="AD12" s="459"/>
      <c r="AE12" s="459"/>
      <c r="AF12" s="459"/>
      <c r="AG12" s="459"/>
      <c r="AH12" s="459"/>
      <c r="AI12" s="459"/>
      <c r="AJ12" s="459"/>
      <c r="AK12" s="459"/>
      <c r="AM12" s="117"/>
      <c r="AN12" s="117" t="str">
        <f aca="false">IF(T12="","",T12)</f>
        <v>Добавить централизованную систему для дифференциации</v>
      </c>
      <c r="AO12" s="117"/>
      <c r="AP12" s="117"/>
    </row>
    <row r="13" s="47" customFormat="true" ht="14.25" hidden="true" customHeight="true" outlineLevel="0" collapsed="false">
      <c r="A13" s="121"/>
      <c r="B13" s="121"/>
      <c r="C13" s="121"/>
      <c r="D13" s="121"/>
      <c r="E13" s="416"/>
      <c r="F13" s="121"/>
      <c r="G13" s="121"/>
      <c r="H13" s="121"/>
      <c r="I13" s="121"/>
      <c r="J13" s="121"/>
      <c r="K13" s="121"/>
      <c r="L13" s="191"/>
      <c r="M13" s="456"/>
      <c r="N13" s="456"/>
      <c r="P13" s="155"/>
      <c r="Q13" s="452"/>
      <c r="R13" s="155"/>
      <c r="S13" s="457"/>
      <c r="T13" s="460" t="s">
        <v>268</v>
      </c>
      <c r="U13" s="459"/>
      <c r="V13" s="459"/>
      <c r="W13" s="459"/>
      <c r="X13" s="459"/>
      <c r="Y13" s="459"/>
      <c r="Z13" s="459"/>
      <c r="AA13" s="459"/>
      <c r="AB13" s="459"/>
      <c r="AC13" s="459"/>
      <c r="AD13" s="459"/>
      <c r="AE13" s="459"/>
      <c r="AF13" s="459"/>
      <c r="AG13" s="459"/>
      <c r="AH13" s="459"/>
      <c r="AI13" s="459"/>
      <c r="AJ13" s="459"/>
      <c r="AK13" s="459"/>
      <c r="AM13" s="117"/>
      <c r="AN13" s="117" t="str">
        <f aca="false">IF(T13="","",T13)</f>
        <v>Добавить территорию для дифференциации</v>
      </c>
      <c r="AO13" s="117"/>
      <c r="AP13" s="117"/>
    </row>
    <row r="14" customFormat="false" ht="14.25" hidden="true" customHeight="true" outlineLevel="0" collapsed="false"/>
    <row r="15" customFormat="false" ht="14.25" hidden="true" customHeight="true" outlineLevel="0" collapsed="false">
      <c r="AC15" s="461"/>
      <c r="AD15" s="461"/>
      <c r="AE15" s="462"/>
      <c r="AF15" s="463"/>
      <c r="AG15" s="464" t="s">
        <v>63</v>
      </c>
      <c r="AH15" s="463"/>
      <c r="AI15" s="464" t="s">
        <v>63</v>
      </c>
    </row>
    <row r="16" customFormat="false" ht="14.25" hidden="true" customHeight="true" outlineLevel="0" collapsed="false">
      <c r="AC16" s="461"/>
      <c r="AD16" s="461"/>
      <c r="AE16" s="443" t="str">
        <f aca="false">AF15&amp;"-"&amp;AH15</f>
        <v>-</v>
      </c>
      <c r="AF16" s="463"/>
      <c r="AG16" s="463"/>
      <c r="AH16" s="463"/>
      <c r="AI16" s="463"/>
    </row>
    <row r="17" customFormat="false" ht="14.25" hidden="true" customHeight="true" outlineLevel="0" collapsed="false"/>
    <row r="18" s="45" customFormat="true" ht="22.5" hidden="true" customHeight="true" outlineLevel="0" collapsed="false">
      <c r="L18" s="44"/>
      <c r="M18" s="51"/>
      <c r="N18" s="51"/>
      <c r="O18" s="465" t="s">
        <v>431</v>
      </c>
      <c r="P18" s="51"/>
      <c r="Q18" s="466"/>
      <c r="R18" s="466"/>
      <c r="S18" s="40"/>
      <c r="Y18" s="465"/>
      <c r="AA18" s="465"/>
      <c r="AF18" s="465"/>
      <c r="AH18" s="465"/>
      <c r="AL18" s="47"/>
      <c r="AM18" s="47"/>
      <c r="AN18" s="47"/>
      <c r="AO18" s="47"/>
      <c r="AP18" s="47"/>
    </row>
    <row r="19" s="45" customFormat="true" ht="14.25" hidden="true" customHeight="true" outlineLevel="0" collapsed="false">
      <c r="L19" s="44"/>
      <c r="M19" s="51"/>
      <c r="N19" s="51"/>
      <c r="O19" s="51"/>
      <c r="P19" s="51"/>
      <c r="Q19" s="466"/>
      <c r="R19" s="466"/>
      <c r="S19" s="40"/>
      <c r="AL19" s="47"/>
      <c r="AM19" s="47"/>
      <c r="AN19" s="47"/>
      <c r="AO19" s="47"/>
      <c r="AP19" s="47"/>
    </row>
    <row r="20" s="45" customFormat="true" ht="12" hidden="true" customHeight="true" outlineLevel="0" collapsed="false">
      <c r="L20" s="44"/>
      <c r="M20" s="51"/>
      <c r="N20" s="51"/>
      <c r="O20" s="417" t="s">
        <v>432</v>
      </c>
      <c r="P20" s="51"/>
      <c r="Q20" s="568"/>
      <c r="R20" s="568"/>
      <c r="S20" s="40"/>
      <c r="T20" s="45" t="s">
        <v>433</v>
      </c>
      <c r="Z20" s="139" t="s">
        <v>434</v>
      </c>
      <c r="AB20" s="139" t="s">
        <v>435</v>
      </c>
      <c r="AC20" s="45" t="s">
        <v>433</v>
      </c>
      <c r="AG20" s="139" t="s">
        <v>436</v>
      </c>
      <c r="AI20" s="139" t="s">
        <v>435</v>
      </c>
    </row>
    <row r="21" customFormat="false" ht="14.25" hidden="true" customHeight="true" outlineLevel="0" collapsed="false">
      <c r="O21" s="417"/>
    </row>
    <row r="22" customFormat="false" ht="14.25" hidden="true" customHeight="true" outlineLevel="0" collapsed="false">
      <c r="O22" s="417"/>
    </row>
    <row r="23" customFormat="false" ht="14.25" hidden="false" customHeight="true" outlineLevel="0" collapsed="false">
      <c r="Q23" s="467"/>
      <c r="R23" s="467"/>
      <c r="S23" s="468"/>
      <c r="T23" s="79"/>
      <c r="U23" s="79"/>
    </row>
    <row r="24" customFormat="false" ht="14.25" hidden="false" customHeight="true" outlineLevel="0" collapsed="false">
      <c r="Q24" s="467"/>
      <c r="R24" s="467"/>
      <c r="S24" s="212"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
      <c r="U24" s="212"/>
      <c r="V24" s="212"/>
      <c r="W24" s="212"/>
      <c r="X24" s="212"/>
      <c r="Y24" s="212"/>
      <c r="Z24" s="212"/>
      <c r="AA24" s="212"/>
      <c r="AB24" s="212"/>
      <c r="AC24" s="212"/>
      <c r="AD24" s="212"/>
      <c r="AE24" s="212"/>
      <c r="AF24" s="212"/>
      <c r="AG24" s="212"/>
      <c r="AH24" s="212"/>
      <c r="AI24" s="214"/>
    </row>
    <row r="25" customFormat="false" ht="14.25" hidden="false" customHeight="true" outlineLevel="0" collapsed="false">
      <c r="Q25" s="467"/>
      <c r="R25" s="467"/>
      <c r="S25" s="265" t="str">
        <f aca="false">IF(org=0,"Не определено",org)</f>
        <v>ООО "Газпром теплоэнерго Ярославль"</v>
      </c>
      <c r="T25" s="265"/>
      <c r="U25" s="265"/>
      <c r="V25" s="265"/>
      <c r="W25" s="265"/>
      <c r="X25" s="265"/>
      <c r="Y25" s="265"/>
      <c r="Z25" s="265"/>
      <c r="AA25" s="265"/>
      <c r="AB25" s="265"/>
      <c r="AC25" s="265"/>
      <c r="AD25" s="265"/>
      <c r="AE25" s="265"/>
      <c r="AF25" s="265"/>
      <c r="AG25" s="265"/>
      <c r="AH25" s="265"/>
      <c r="AI25" s="214"/>
    </row>
    <row r="26" customFormat="false" ht="14.25" hidden="false" customHeight="true" outlineLevel="0" collapsed="false">
      <c r="Q26" s="467"/>
      <c r="R26" s="467"/>
      <c r="S26" s="468"/>
      <c r="T26" s="79"/>
      <c r="U26" s="79"/>
      <c r="V26" s="469"/>
      <c r="W26" s="469"/>
      <c r="X26" s="469"/>
      <c r="Y26" s="469"/>
      <c r="Z26" s="469"/>
      <c r="AA26" s="469"/>
      <c r="AB26" s="469"/>
      <c r="AC26" s="469"/>
      <c r="AD26" s="469"/>
      <c r="AE26" s="469"/>
      <c r="AF26" s="469"/>
      <c r="AG26" s="469"/>
      <c r="AH26" s="469"/>
      <c r="AI26" s="469"/>
    </row>
    <row r="27" s="174" customFormat="true" ht="25.5" hidden="false" customHeight="true" outlineLevel="0" collapsed="false">
      <c r="A27" s="139"/>
      <c r="B27" s="139"/>
      <c r="C27" s="139"/>
      <c r="D27" s="139"/>
      <c r="E27" s="139"/>
      <c r="F27" s="139"/>
      <c r="G27" s="139"/>
      <c r="H27" s="139"/>
      <c r="I27" s="139"/>
      <c r="J27" s="139"/>
      <c r="K27" s="139"/>
      <c r="L27" s="417"/>
      <c r="M27" s="139"/>
      <c r="N27" s="139"/>
      <c r="O27" s="139"/>
      <c r="S27" s="470" t="s">
        <v>37</v>
      </c>
      <c r="T27" s="470"/>
      <c r="U27" s="471"/>
      <c r="V27" s="472" t="str">
        <f aca="false">IF(TITLE_NAME_OR_PR_CHANGE="",IF(TITLE_NAME_OR_PR="","",TITLE_NAME_OR_PR),TITLE_NAME_OR_PR_CHANGE)</f>
        <v>Министерство тарифного регулирования Ярославской области</v>
      </c>
      <c r="W27" s="472"/>
      <c r="X27" s="472"/>
      <c r="Y27" s="472"/>
      <c r="Z27" s="472"/>
      <c r="AA27" s="472"/>
      <c r="AB27" s="42"/>
      <c r="AC27" s="472" t="str">
        <f aca="false">IF(TITLE_NAME_OR_PR_CHANGE="",IF(TITLE_NAME_OR_PR="","",TITLE_NAME_OR_PR),TITLE_NAME_OR_PR_CHANGE)</f>
        <v>Министерство тарифного регулирования Ярославской области</v>
      </c>
      <c r="AD27" s="472"/>
      <c r="AE27" s="472"/>
      <c r="AF27" s="472"/>
      <c r="AG27" s="472"/>
      <c r="AH27" s="472"/>
      <c r="AI27" s="42"/>
      <c r="AJ27" s="42"/>
      <c r="AK27" s="473"/>
      <c r="AL27" s="117"/>
      <c r="AM27" s="117"/>
      <c r="AN27" s="117"/>
      <c r="AO27" s="117"/>
      <c r="AP27" s="117"/>
    </row>
    <row r="28" s="174" customFormat="true" ht="18.75" hidden="false" customHeight="true" outlineLevel="0" collapsed="false">
      <c r="A28" s="139"/>
      <c r="B28" s="139"/>
      <c r="C28" s="139"/>
      <c r="D28" s="139"/>
      <c r="E28" s="139"/>
      <c r="F28" s="139"/>
      <c r="G28" s="139"/>
      <c r="H28" s="139"/>
      <c r="I28" s="139"/>
      <c r="J28" s="139"/>
      <c r="K28" s="139"/>
      <c r="L28" s="417"/>
      <c r="M28" s="139"/>
      <c r="N28" s="139"/>
      <c r="O28" s="139"/>
      <c r="S28" s="470" t="s">
        <v>437</v>
      </c>
      <c r="T28" s="470"/>
      <c r="U28" s="471"/>
      <c r="V28" s="474" t="str">
        <f aca="false">IF(TITLE_DATE_PR_CHANGE="",IF(TITLE_DATE_PR="","",TITLE_DATE_PR),TITLE_DATE_PR_CHANGE)</f>
        <v>45279.46460648148</v>
      </c>
      <c r="W28" s="474"/>
      <c r="X28" s="474"/>
      <c r="Y28" s="474"/>
      <c r="Z28" s="474"/>
      <c r="AA28" s="474"/>
      <c r="AB28" s="42"/>
      <c r="AC28" s="474" t="str">
        <f aca="false">IF(TITLE_DATE_PR_CHANGE="",IF(TITLE_DATE_PR="","",TITLE_DATE_PR),TITLE_DATE_PR_CHANGE)</f>
        <v>45279.46460648148</v>
      </c>
      <c r="AD28" s="474"/>
      <c r="AE28" s="474"/>
      <c r="AF28" s="474"/>
      <c r="AG28" s="474"/>
      <c r="AH28" s="474"/>
      <c r="AI28" s="42"/>
      <c r="AJ28" s="42"/>
      <c r="AK28" s="473"/>
      <c r="AL28" s="117"/>
      <c r="AM28" s="117"/>
      <c r="AN28" s="117"/>
      <c r="AO28" s="117"/>
      <c r="AP28" s="117"/>
    </row>
    <row r="29" s="174" customFormat="true" ht="18.75" hidden="false" customHeight="true" outlineLevel="0" collapsed="false">
      <c r="A29" s="139"/>
      <c r="B29" s="139"/>
      <c r="C29" s="139"/>
      <c r="D29" s="139"/>
      <c r="E29" s="139"/>
      <c r="F29" s="139"/>
      <c r="G29" s="139"/>
      <c r="H29" s="139"/>
      <c r="I29" s="139"/>
      <c r="J29" s="139"/>
      <c r="K29" s="139"/>
      <c r="L29" s="417"/>
      <c r="M29" s="139"/>
      <c r="N29" s="139"/>
      <c r="O29" s="139"/>
      <c r="S29" s="470" t="s">
        <v>438</v>
      </c>
      <c r="T29" s="470"/>
      <c r="U29" s="471"/>
      <c r="V29" s="472" t="str">
        <f aca="false">IF(TITLE_NUMBER_PR_CHANGE="",IF(TITLE_NUMBER_PR="","",TITLE_NUMBER_PR),TITLE_NUMBER_PR_CHANGE)</f>
        <v>403-гвс, 404-гвс, 406-гвс</v>
      </c>
      <c r="W29" s="472"/>
      <c r="X29" s="472"/>
      <c r="Y29" s="472"/>
      <c r="Z29" s="472"/>
      <c r="AA29" s="472"/>
      <c r="AB29" s="42"/>
      <c r="AC29" s="472" t="str">
        <f aca="false">IF(TITLE_NUMBER_PR_CHANGE="",IF(TITLE_NUMBER_PR="","",TITLE_NUMBER_PR),TITLE_NUMBER_PR_CHANGE)</f>
        <v>403-гвс, 404-гвс, 406-гвс</v>
      </c>
      <c r="AD29" s="472"/>
      <c r="AE29" s="472"/>
      <c r="AF29" s="472"/>
      <c r="AG29" s="472"/>
      <c r="AH29" s="472"/>
      <c r="AI29" s="42"/>
      <c r="AJ29" s="42"/>
      <c r="AK29" s="473"/>
      <c r="AL29" s="117"/>
      <c r="AM29" s="117"/>
      <c r="AN29" s="117"/>
      <c r="AO29" s="117"/>
      <c r="AP29" s="117"/>
    </row>
    <row r="30" s="174" customFormat="true" ht="18.75" hidden="false" customHeight="true" outlineLevel="0" collapsed="false">
      <c r="A30" s="139"/>
      <c r="B30" s="139"/>
      <c r="C30" s="139"/>
      <c r="D30" s="139"/>
      <c r="E30" s="139"/>
      <c r="F30" s="139"/>
      <c r="G30" s="139"/>
      <c r="H30" s="139"/>
      <c r="I30" s="139"/>
      <c r="J30" s="139"/>
      <c r="K30" s="139"/>
      <c r="L30" s="417"/>
      <c r="M30" s="139"/>
      <c r="N30" s="139"/>
      <c r="O30" s="139"/>
      <c r="S30" s="470" t="s">
        <v>39</v>
      </c>
      <c r="T30" s="470"/>
      <c r="U30" s="471"/>
      <c r="V30" s="472" t="str">
        <f aca="false">IF(TITLE_IST_PUB_CHANGE="",IF(TITLE_IST_PUB="","",TITLE_IST_PUB),TITLE_IST_PUB_CHANGE)</f>
        <v>официальный интернет- портал правовой информации www.pravo.gov.ru</v>
      </c>
      <c r="W30" s="472"/>
      <c r="X30" s="472"/>
      <c r="Y30" s="472"/>
      <c r="Z30" s="472"/>
      <c r="AA30" s="472"/>
      <c r="AB30" s="42"/>
      <c r="AC30" s="472" t="str">
        <f aca="false">IF(TITLE_IST_PUB_CHANGE="",IF(TITLE_IST_PUB="","",TITLE_IST_PUB),TITLE_IST_PUB_CHANGE)</f>
        <v>официальный интернет- портал правовой информации www.pravo.gov.ru</v>
      </c>
      <c r="AD30" s="472"/>
      <c r="AE30" s="472"/>
      <c r="AF30" s="472"/>
      <c r="AG30" s="472"/>
      <c r="AH30" s="472"/>
      <c r="AI30" s="42"/>
      <c r="AJ30" s="42"/>
      <c r="AK30" s="473"/>
      <c r="AL30" s="117"/>
      <c r="AM30" s="117"/>
      <c r="AN30" s="117"/>
      <c r="AO30" s="117"/>
      <c r="AP30" s="117"/>
    </row>
    <row r="31" customFormat="false" ht="14.25" hidden="true" customHeight="true" outlineLevel="0" collapsed="false">
      <c r="Q31" s="467"/>
      <c r="R31" s="467"/>
      <c r="S31" s="468"/>
      <c r="T31" s="79"/>
      <c r="U31" s="79"/>
      <c r="V31" s="469"/>
      <c r="W31" s="469"/>
      <c r="X31" s="469"/>
      <c r="Y31" s="469"/>
      <c r="Z31" s="469"/>
      <c r="AA31" s="469"/>
      <c r="AB31" s="469"/>
      <c r="AC31" s="469"/>
      <c r="AD31" s="469"/>
      <c r="AE31" s="469"/>
      <c r="AF31" s="469"/>
      <c r="AG31" s="469"/>
      <c r="AH31" s="469"/>
      <c r="AI31" s="469"/>
    </row>
    <row r="32" s="174" customFormat="true" ht="18.75" hidden="true" customHeight="true" outlineLevel="0" collapsed="false">
      <c r="A32" s="139"/>
      <c r="B32" s="139"/>
      <c r="C32" s="139"/>
      <c r="D32" s="139"/>
      <c r="E32" s="139"/>
      <c r="F32" s="139"/>
      <c r="G32" s="139"/>
      <c r="H32" s="139"/>
      <c r="I32" s="139"/>
      <c r="J32" s="139"/>
      <c r="K32" s="139"/>
      <c r="L32" s="417"/>
      <c r="M32" s="139"/>
      <c r="N32" s="139"/>
      <c r="O32" s="139"/>
      <c r="S32" s="470" t="s">
        <v>439</v>
      </c>
      <c r="T32" s="470"/>
      <c r="U32" s="471"/>
      <c r="V32" s="474" t="str">
        <f aca="false">IF(TITLE_DATE_PR_CHANGE="",IF(TITLE_DATE_PR="","",TITLE_DATE_PR),TITLE_DATE_PR_CHANGE)</f>
        <v>45279.46460648148</v>
      </c>
      <c r="W32" s="474"/>
      <c r="X32" s="474"/>
      <c r="Y32" s="474"/>
      <c r="Z32" s="474"/>
      <c r="AA32" s="474"/>
      <c r="AB32" s="42"/>
      <c r="AC32" s="474" t="str">
        <f aca="false">IF(TITLE_DATE_PR_CHANGE="",IF(TITLE_DATE_PR="","",TITLE_DATE_PR),TITLE_DATE_PR_CHANGE)</f>
        <v>45279.46460648148</v>
      </c>
      <c r="AD32" s="474"/>
      <c r="AE32" s="474"/>
      <c r="AF32" s="474"/>
      <c r="AG32" s="474"/>
      <c r="AH32" s="474"/>
      <c r="AI32" s="42"/>
      <c r="AJ32" s="42"/>
      <c r="AK32" s="473"/>
      <c r="AL32" s="117"/>
      <c r="AM32" s="117"/>
      <c r="AN32" s="117"/>
      <c r="AO32" s="117"/>
      <c r="AP32" s="117"/>
    </row>
    <row r="33" s="174" customFormat="true" ht="18.75" hidden="true" customHeight="true" outlineLevel="0" collapsed="false">
      <c r="A33" s="139"/>
      <c r="B33" s="139"/>
      <c r="C33" s="139"/>
      <c r="D33" s="139"/>
      <c r="E33" s="139"/>
      <c r="F33" s="139"/>
      <c r="G33" s="139"/>
      <c r="H33" s="139"/>
      <c r="I33" s="139"/>
      <c r="J33" s="139"/>
      <c r="K33" s="139"/>
      <c r="L33" s="417"/>
      <c r="M33" s="139"/>
      <c r="N33" s="139"/>
      <c r="O33" s="139"/>
      <c r="S33" s="470" t="s">
        <v>440</v>
      </c>
      <c r="T33" s="470"/>
      <c r="U33" s="471"/>
      <c r="V33" s="472" t="str">
        <f aca="false">IF(TITLE_NUMBER_PR_CHANGE="",IF(TITLE_NUMBER_PR="","",TITLE_NUMBER_PR),TITLE_NUMBER_PR_CHANGE)</f>
        <v>403-гвс, 404-гвс, 406-гвс</v>
      </c>
      <c r="W33" s="472"/>
      <c r="X33" s="472"/>
      <c r="Y33" s="472"/>
      <c r="Z33" s="472"/>
      <c r="AA33" s="472"/>
      <c r="AB33" s="42"/>
      <c r="AC33" s="472" t="str">
        <f aca="false">IF(TITLE_NUMBER_PR_CHANGE="",IF(TITLE_NUMBER_PR="","",TITLE_NUMBER_PR),TITLE_NUMBER_PR_CHANGE)</f>
        <v>403-гвс, 404-гвс, 406-гвс</v>
      </c>
      <c r="AD33" s="472"/>
      <c r="AE33" s="472"/>
      <c r="AF33" s="472"/>
      <c r="AG33" s="472"/>
      <c r="AH33" s="472"/>
      <c r="AI33" s="42"/>
      <c r="AJ33" s="42"/>
      <c r="AK33" s="473"/>
      <c r="AL33" s="117"/>
      <c r="AM33" s="117"/>
      <c r="AN33" s="117"/>
      <c r="AO33" s="117"/>
      <c r="AP33" s="117"/>
    </row>
    <row r="34" s="174" customFormat="true" ht="0.75" hidden="false" customHeight="true" outlineLevel="0" collapsed="false">
      <c r="A34" s="139"/>
      <c r="B34" s="139"/>
      <c r="C34" s="139"/>
      <c r="D34" s="139"/>
      <c r="E34" s="139"/>
      <c r="F34" s="139"/>
      <c r="G34" s="139"/>
      <c r="H34" s="139"/>
      <c r="I34" s="139"/>
      <c r="J34" s="139"/>
      <c r="K34" s="139"/>
      <c r="L34" s="417"/>
      <c r="M34" s="139"/>
      <c r="N34" s="139"/>
      <c r="O34" s="139"/>
      <c r="S34" s="42"/>
      <c r="T34" s="42"/>
      <c r="U34" s="127"/>
      <c r="V34" s="42"/>
      <c r="W34" s="42"/>
      <c r="X34" s="42"/>
      <c r="Y34" s="42"/>
      <c r="Z34" s="42"/>
      <c r="AA34" s="42"/>
      <c r="AB34" s="47" t="s">
        <v>441</v>
      </c>
      <c r="AC34" s="42"/>
      <c r="AD34" s="42"/>
      <c r="AE34" s="42"/>
      <c r="AF34" s="42"/>
      <c r="AG34" s="42"/>
      <c r="AH34" s="42"/>
      <c r="AI34" s="47" t="s">
        <v>441</v>
      </c>
      <c r="AL34" s="117"/>
      <c r="AM34" s="117"/>
      <c r="AN34" s="117"/>
      <c r="AO34" s="117"/>
      <c r="AP34" s="117"/>
    </row>
    <row r="35" customFormat="false" ht="14.25" hidden="false" customHeight="true" outlineLevel="0" collapsed="false">
      <c r="Q35" s="467"/>
      <c r="R35" s="467"/>
      <c r="S35" s="468"/>
      <c r="T35" s="79"/>
      <c r="U35" s="475"/>
      <c r="V35" s="476"/>
      <c r="W35" s="476"/>
      <c r="X35" s="476"/>
      <c r="Y35" s="476"/>
      <c r="Z35" s="476"/>
      <c r="AA35" s="476"/>
      <c r="AB35" s="476"/>
      <c r="AC35" s="476"/>
      <c r="AD35" s="476"/>
      <c r="AE35" s="476"/>
      <c r="AF35" s="476"/>
      <c r="AG35" s="476"/>
      <c r="AH35" s="476"/>
      <c r="AI35" s="476"/>
    </row>
    <row r="36" customFormat="false" ht="14.25" hidden="false" customHeight="true" outlineLevel="0" collapsed="false">
      <c r="Q36" s="467"/>
      <c r="R36" s="467"/>
      <c r="S36" s="133" t="s">
        <v>316</v>
      </c>
      <c r="T36" s="133"/>
      <c r="U36" s="133"/>
      <c r="V36" s="133"/>
      <c r="W36" s="133"/>
      <c r="X36" s="133"/>
      <c r="Y36" s="133"/>
      <c r="Z36" s="133"/>
      <c r="AA36" s="133"/>
      <c r="AB36" s="133"/>
      <c r="AC36" s="133"/>
      <c r="AD36" s="133"/>
      <c r="AE36" s="133"/>
      <c r="AF36" s="133"/>
      <c r="AG36" s="133"/>
      <c r="AH36" s="133"/>
      <c r="AI36" s="133"/>
      <c r="AJ36" s="133"/>
      <c r="AK36" s="133" t="s">
        <v>317</v>
      </c>
    </row>
    <row r="37" customFormat="false" ht="14.25" hidden="false" customHeight="true" outlineLevel="0" collapsed="false">
      <c r="Q37" s="467"/>
      <c r="R37" s="467"/>
      <c r="S37" s="477" t="s">
        <v>84</v>
      </c>
      <c r="T37" s="394" t="s">
        <v>442</v>
      </c>
      <c r="U37" s="478"/>
      <c r="V37" s="300" t="s">
        <v>443</v>
      </c>
      <c r="W37" s="300"/>
      <c r="X37" s="300"/>
      <c r="Y37" s="300"/>
      <c r="Z37" s="300"/>
      <c r="AA37" s="300"/>
      <c r="AB37" s="394" t="s">
        <v>444</v>
      </c>
      <c r="AC37" s="300" t="s">
        <v>443</v>
      </c>
      <c r="AD37" s="300"/>
      <c r="AE37" s="300"/>
      <c r="AF37" s="300"/>
      <c r="AG37" s="300"/>
      <c r="AH37" s="300"/>
      <c r="AI37" s="394" t="s">
        <v>445</v>
      </c>
      <c r="AJ37" s="479" t="s">
        <v>446</v>
      </c>
      <c r="AK37" s="133"/>
    </row>
    <row r="38" customFormat="false" ht="33.75" hidden="false" customHeight="true" outlineLevel="0" collapsed="false">
      <c r="Q38" s="467"/>
      <c r="R38" s="467"/>
      <c r="S38" s="477"/>
      <c r="T38" s="394"/>
      <c r="U38" s="480"/>
      <c r="V38" s="266" t="s">
        <v>503</v>
      </c>
      <c r="W38" s="133" t="s">
        <v>449</v>
      </c>
      <c r="X38" s="133"/>
      <c r="Y38" s="133" t="s">
        <v>450</v>
      </c>
      <c r="Z38" s="133"/>
      <c r="AA38" s="133"/>
      <c r="AB38" s="394"/>
      <c r="AC38" s="266" t="s">
        <v>503</v>
      </c>
      <c r="AD38" s="133" t="s">
        <v>449</v>
      </c>
      <c r="AE38" s="133"/>
      <c r="AF38" s="133" t="s">
        <v>450</v>
      </c>
      <c r="AG38" s="133"/>
      <c r="AH38" s="133"/>
      <c r="AI38" s="394"/>
      <c r="AJ38" s="479"/>
      <c r="AK38" s="133"/>
    </row>
    <row r="39" customFormat="false" ht="33.75" hidden="false" customHeight="true" outlineLevel="0" collapsed="false">
      <c r="A39" s="139"/>
      <c r="B39" s="139" t="s">
        <v>142</v>
      </c>
      <c r="C39" s="139" t="s">
        <v>143</v>
      </c>
      <c r="D39" s="139" t="s">
        <v>144</v>
      </c>
      <c r="E39" s="417" t="s">
        <v>451</v>
      </c>
      <c r="F39" s="417" t="s">
        <v>452</v>
      </c>
      <c r="G39" s="417" t="s">
        <v>453</v>
      </c>
      <c r="H39" s="417"/>
      <c r="I39" s="417" t="s">
        <v>504</v>
      </c>
      <c r="J39" s="417" t="s">
        <v>456</v>
      </c>
      <c r="K39" s="417" t="s">
        <v>505</v>
      </c>
      <c r="L39" s="417" t="s">
        <v>432</v>
      </c>
      <c r="Q39" s="467"/>
      <c r="R39" s="467"/>
      <c r="S39" s="477"/>
      <c r="T39" s="394"/>
      <c r="U39" s="481"/>
      <c r="V39" s="266" t="s">
        <v>506</v>
      </c>
      <c r="W39" s="184" t="s">
        <v>507</v>
      </c>
      <c r="X39" s="184" t="s">
        <v>508</v>
      </c>
      <c r="Y39" s="184" t="s">
        <v>460</v>
      </c>
      <c r="Z39" s="184" t="s">
        <v>461</v>
      </c>
      <c r="AA39" s="184"/>
      <c r="AB39" s="394"/>
      <c r="AC39" s="266" t="s">
        <v>506</v>
      </c>
      <c r="AD39" s="184" t="s">
        <v>507</v>
      </c>
      <c r="AE39" s="184" t="s">
        <v>508</v>
      </c>
      <c r="AF39" s="184" t="s">
        <v>460</v>
      </c>
      <c r="AG39" s="184" t="s">
        <v>461</v>
      </c>
      <c r="AH39" s="184"/>
      <c r="AI39" s="394"/>
      <c r="AJ39" s="479"/>
      <c r="AK39" s="133"/>
    </row>
    <row r="40" s="119" customFormat="true" ht="12.8" hidden="false" customHeight="false" outlineLevel="0" collapsed="false">
      <c r="A40" s="139"/>
      <c r="B40" s="139"/>
      <c r="C40" s="139"/>
      <c r="D40" s="139"/>
      <c r="E40" s="139"/>
      <c r="F40" s="139"/>
      <c r="G40" s="139"/>
      <c r="H40" s="139"/>
      <c r="I40" s="139"/>
      <c r="J40" s="139"/>
      <c r="K40" s="139"/>
      <c r="L40" s="417"/>
      <c r="M40" s="51"/>
      <c r="N40" s="51"/>
      <c r="O40" s="51"/>
      <c r="P40" s="482"/>
      <c r="Q40" s="483"/>
      <c r="R40" s="484" t="n">
        <v>1</v>
      </c>
      <c r="S40" s="485" t="s">
        <v>117</v>
      </c>
      <c r="T40" s="486" t="s">
        <v>99</v>
      </c>
      <c r="U40" s="487" t="str">
        <f aca="true">OFFSET(U40,0,-1)</f>
        <v>2</v>
      </c>
      <c r="V40" s="488" t="n">
        <f aca="true">OFFSET(V40,0,-1)+1</f>
        <v>3</v>
      </c>
      <c r="W40" s="488" t="n">
        <f aca="true">OFFSET(W40,0,-1)+1</f>
        <v>4</v>
      </c>
      <c r="X40" s="488" t="n">
        <f aca="true">OFFSET(X40,0,-1)+1</f>
        <v>5</v>
      </c>
      <c r="Y40" s="488" t="n">
        <f aca="true">OFFSET(Y40,0,-1)+1</f>
        <v>6</v>
      </c>
      <c r="Z40" s="488" t="n">
        <f aca="true">OFFSET(Z40,0,-1)+1</f>
        <v>7</v>
      </c>
      <c r="AA40" s="488"/>
      <c r="AB40" s="488" t="n">
        <f aca="true">OFFSET(AB40,0,-2)+1</f>
        <v>8</v>
      </c>
      <c r="AC40" s="488" t="n">
        <f aca="true">OFFSET(AC40,0,-1)+1</f>
        <v>9</v>
      </c>
      <c r="AD40" s="488" t="n">
        <f aca="true">OFFSET(AD40,0,-1)+1</f>
        <v>10</v>
      </c>
      <c r="AE40" s="488" t="n">
        <f aca="true">OFFSET(AE40,0,-1)+1</f>
        <v>11</v>
      </c>
      <c r="AF40" s="488" t="n">
        <f aca="true">OFFSET(AF40,0,-1)+1</f>
        <v>12</v>
      </c>
      <c r="AG40" s="488" t="n">
        <f aca="true">OFFSET(AG40,0,-1)+1</f>
        <v>13</v>
      </c>
      <c r="AH40" s="488"/>
      <c r="AI40" s="488" t="n">
        <f aca="true">OFFSET(AI40,0,-2)+1</f>
        <v>14</v>
      </c>
      <c r="AJ40" s="487" t="n">
        <f aca="true">OFFSET(AJ40,0,-1)</f>
        <v>14</v>
      </c>
      <c r="AK40" s="488" t="n">
        <f aca="true">OFFSET(AK40,0,-1)+1</f>
        <v>15</v>
      </c>
      <c r="AL40" s="47"/>
      <c r="AM40" s="47"/>
      <c r="AN40" s="47"/>
      <c r="AO40" s="47"/>
      <c r="AP40" s="47"/>
    </row>
    <row r="41" customFormat="false" ht="23.25" hidden="false" customHeight="true" outlineLevel="0" collapsed="false">
      <c r="A41" s="415" t="s">
        <v>236</v>
      </c>
      <c r="B41" s="415"/>
      <c r="C41" s="415"/>
      <c r="D41" s="415"/>
      <c r="E41" s="416" t="n">
        <v>1</v>
      </c>
      <c r="F41" s="415"/>
      <c r="G41" s="415"/>
      <c r="H41" s="415"/>
      <c r="I41" s="415"/>
      <c r="J41" s="415"/>
      <c r="K41" s="415"/>
      <c r="L41" s="417"/>
      <c r="M41" s="40"/>
      <c r="N41" s="40"/>
      <c r="O41" s="40"/>
      <c r="Q41" s="131"/>
      <c r="R41" s="418"/>
      <c r="S41" s="419" t="n">
        <f aca="false">INDEX(PT_DIFFERENTIATION_NUM_NTAR,MATCH(A41,PT_DIFFERENTIATION_NTAR_ID,0))</f>
        <v>0</v>
      </c>
      <c r="T41" s="420" t="s">
        <v>130</v>
      </c>
      <c r="U41" s="421"/>
      <c r="V41" s="422"/>
      <c r="W41" s="422"/>
      <c r="X41" s="422"/>
      <c r="Y41" s="422"/>
      <c r="Z41" s="422"/>
      <c r="AA41" s="422"/>
      <c r="AB41" s="422"/>
      <c r="AC41" s="422" t="str">
        <f aca="false">INDEX(PT_DIFFERENTIATION_NTAR,MATCH(A41,PT_DIFFERENTIATION_NTAR_ID,0))</f>
        <v/>
      </c>
      <c r="AD41" s="422"/>
      <c r="AE41" s="422"/>
      <c r="AF41" s="422"/>
      <c r="AG41" s="422"/>
      <c r="AH41" s="422"/>
      <c r="AI41" s="422"/>
      <c r="AJ41" s="422"/>
      <c r="AK41" s="42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7"/>
      <c r="AN41" s="117" t="str">
        <f aca="false">IF(T41="","",T41)</f>
        <v>Наименование тарифа</v>
      </c>
      <c r="AO41" s="117"/>
      <c r="AP41" s="117"/>
    </row>
    <row r="42" customFormat="false" ht="23.25" hidden="false" customHeight="true" outlineLevel="0" collapsed="false">
      <c r="A42" s="415" t="s">
        <v>236</v>
      </c>
      <c r="B42" s="415" t="s">
        <v>237</v>
      </c>
      <c r="C42" s="415"/>
      <c r="D42" s="415"/>
      <c r="E42" s="416"/>
      <c r="F42" s="416" t="n">
        <v>1</v>
      </c>
      <c r="G42" s="415"/>
      <c r="H42" s="415"/>
      <c r="I42" s="415"/>
      <c r="J42" s="415"/>
      <c r="K42" s="415"/>
      <c r="L42" s="417"/>
      <c r="M42" s="40"/>
      <c r="N42" s="40"/>
      <c r="O42" s="40"/>
      <c r="P42" s="43"/>
      <c r="Q42" s="425"/>
      <c r="R42" s="426"/>
      <c r="S42" s="419" t="str">
        <f aca="false">INDEX(PT_DIFFERENTIATION_NUM_TER,MATCH(B42,PT_DIFFERENTIATION_TER_ID,0))</f>
        <v>.</v>
      </c>
      <c r="T42" s="427" t="s">
        <v>413</v>
      </c>
      <c r="U42" s="421"/>
      <c r="V42" s="422"/>
      <c r="W42" s="422"/>
      <c r="X42" s="422"/>
      <c r="Y42" s="422"/>
      <c r="Z42" s="422"/>
      <c r="AA42" s="422"/>
      <c r="AB42" s="422"/>
      <c r="AC42" s="422" t="str">
        <f aca="false">INDEX(PT_DIFFERENTIATION_TER,MATCH(B42,PT_DIFFERENTIATION_TER_ID,0))</f>
        <v/>
      </c>
      <c r="AD42" s="422"/>
      <c r="AE42" s="422"/>
      <c r="AF42" s="422"/>
      <c r="AG42" s="422"/>
      <c r="AH42" s="422"/>
      <c r="AI42" s="422"/>
      <c r="AJ42" s="422"/>
      <c r="AK42" s="424" t="s">
        <v>414</v>
      </c>
      <c r="AM42" s="117"/>
      <c r="AN42" s="117" t="str">
        <f aca="false">IF(T42="","",T42)</f>
        <v>Территория действия тарифа</v>
      </c>
      <c r="AO42" s="117"/>
      <c r="AP42" s="117"/>
    </row>
    <row r="43" customFormat="false" ht="23.25" hidden="false" customHeight="true" outlineLevel="0" collapsed="false">
      <c r="A43" s="415" t="s">
        <v>236</v>
      </c>
      <c r="B43" s="415" t="s">
        <v>237</v>
      </c>
      <c r="C43" s="415" t="s">
        <v>238</v>
      </c>
      <c r="D43" s="415"/>
      <c r="E43" s="416"/>
      <c r="F43" s="416"/>
      <c r="G43" s="416" t="n">
        <v>1</v>
      </c>
      <c r="H43" s="415"/>
      <c r="I43" s="415"/>
      <c r="J43" s="415"/>
      <c r="K43" s="415"/>
      <c r="L43" s="417"/>
      <c r="M43" s="40"/>
      <c r="N43" s="40"/>
      <c r="O43" s="40"/>
      <c r="P43" s="428"/>
      <c r="Q43" s="425"/>
      <c r="R43" s="426"/>
      <c r="S43" s="419" t="str">
        <f aca="false">INDEX(PT_DIFFERENTIATION_NUM_CS,MATCH(C43,PT_DIFFERENTIATION_CS_ID,0))</f>
        <v>..</v>
      </c>
      <c r="T43" s="429" t="s">
        <v>495</v>
      </c>
      <c r="U43" s="421"/>
      <c r="V43" s="422"/>
      <c r="W43" s="422"/>
      <c r="X43" s="422"/>
      <c r="Y43" s="422"/>
      <c r="Z43" s="422"/>
      <c r="AA43" s="422"/>
      <c r="AB43" s="422"/>
      <c r="AC43" s="422" t="str">
        <f aca="false">INDEX(PT_DIFFERENTIATION_CS,MATCH(C43,PT_DIFFERENTIATION_CS_ID,0))</f>
        <v/>
      </c>
      <c r="AD43" s="422"/>
      <c r="AE43" s="422"/>
      <c r="AF43" s="422"/>
      <c r="AG43" s="422"/>
      <c r="AH43" s="422"/>
      <c r="AI43" s="422"/>
      <c r="AJ43" s="422"/>
      <c r="AK43" s="424" t="s">
        <v>496</v>
      </c>
      <c r="AM43" s="117"/>
      <c r="AN43" s="117" t="str">
        <f aca="false">IF(T43="","",T43)</f>
        <v>Наименование централизованной системы холодного водоснабжения</v>
      </c>
      <c r="AO43" s="117"/>
      <c r="AP43" s="117"/>
    </row>
    <row r="44" customFormat="false" ht="23.25" hidden="false" customHeight="true" outlineLevel="0" collapsed="false">
      <c r="A44" s="415" t="s">
        <v>236</v>
      </c>
      <c r="B44" s="415" t="s">
        <v>237</v>
      </c>
      <c r="C44" s="415" t="s">
        <v>238</v>
      </c>
      <c r="D44" s="415" t="s">
        <v>510</v>
      </c>
      <c r="E44" s="416"/>
      <c r="F44" s="416"/>
      <c r="G44" s="416"/>
      <c r="H44" s="560"/>
      <c r="I44" s="431" t="str">
        <f aca="false">S43&amp;".1"</f>
        <v>...1</v>
      </c>
      <c r="J44" s="415"/>
      <c r="K44" s="415"/>
      <c r="L44" s="417"/>
      <c r="P44" s="120" t="n">
        <v>1</v>
      </c>
      <c r="Q44" s="120"/>
      <c r="R44" s="432"/>
      <c r="S44" s="419" t="str">
        <f aca="false">$I44</f>
        <v>...1</v>
      </c>
      <c r="T44" s="433" t="s">
        <v>497</v>
      </c>
      <c r="U44" s="421"/>
      <c r="V44" s="561"/>
      <c r="W44" s="561"/>
      <c r="X44" s="561"/>
      <c r="Y44" s="561"/>
      <c r="Z44" s="561"/>
      <c r="AA44" s="561"/>
      <c r="AB44" s="561"/>
      <c r="AC44" s="245"/>
      <c r="AD44" s="245"/>
      <c r="AE44" s="245"/>
      <c r="AF44" s="245"/>
      <c r="AG44" s="245"/>
      <c r="AH44" s="245"/>
      <c r="AI44" s="245"/>
      <c r="AJ44" s="245"/>
      <c r="AK44" s="424" t="s">
        <v>498</v>
      </c>
      <c r="AM44" s="117"/>
      <c r="AN44" s="117" t="str">
        <f aca="false">IF(T44="","",T44)</f>
        <v>Наименование признака дифференциации</v>
      </c>
      <c r="AO44" s="117"/>
      <c r="AP44" s="117"/>
    </row>
    <row r="45" customFormat="false" ht="23.25" hidden="false" customHeight="true" outlineLevel="0" collapsed="false">
      <c r="A45" s="415" t="s">
        <v>236</v>
      </c>
      <c r="B45" s="415" t="s">
        <v>237</v>
      </c>
      <c r="C45" s="415" t="s">
        <v>238</v>
      </c>
      <c r="D45" s="415" t="s">
        <v>510</v>
      </c>
      <c r="E45" s="416"/>
      <c r="F45" s="416"/>
      <c r="G45" s="416"/>
      <c r="H45" s="416"/>
      <c r="I45" s="431"/>
      <c r="J45" s="431" t="str">
        <f aca="false">I44&amp;".1"</f>
        <v>...1.1</v>
      </c>
      <c r="K45" s="415"/>
      <c r="L45" s="417" t="s">
        <v>422</v>
      </c>
      <c r="P45" s="120"/>
      <c r="Q45" s="120" t="n">
        <v>1</v>
      </c>
      <c r="R45" s="435"/>
      <c r="S45" s="419" t="str">
        <f aca="false">$J45</f>
        <v>...1.1</v>
      </c>
      <c r="T45" s="436" t="s">
        <v>423</v>
      </c>
      <c r="U45" s="421"/>
      <c r="V45" s="434"/>
      <c r="W45" s="434"/>
      <c r="X45" s="434"/>
      <c r="Y45" s="434"/>
      <c r="Z45" s="434"/>
      <c r="AA45" s="434"/>
      <c r="AB45" s="434"/>
      <c r="AC45" s="434"/>
      <c r="AD45" s="434"/>
      <c r="AE45" s="434"/>
      <c r="AF45" s="434"/>
      <c r="AG45" s="434"/>
      <c r="AH45" s="434"/>
      <c r="AI45" s="434"/>
      <c r="AJ45" s="434"/>
      <c r="AK45" s="514" t="s">
        <v>499</v>
      </c>
      <c r="AM45" s="117"/>
      <c r="AN45" s="117" t="str">
        <f aca="false">IF(T45="","",T45)</f>
        <v>Группа потребителей</v>
      </c>
      <c r="AO45" s="117"/>
      <c r="AP45" s="117"/>
    </row>
    <row r="46" customFormat="false" ht="23.25" hidden="false" customHeight="true" outlineLevel="0" collapsed="false">
      <c r="A46" s="415" t="s">
        <v>236</v>
      </c>
      <c r="B46" s="415" t="s">
        <v>237</v>
      </c>
      <c r="C46" s="415" t="s">
        <v>238</v>
      </c>
      <c r="D46" s="415" t="s">
        <v>510</v>
      </c>
      <c r="E46" s="416"/>
      <c r="F46" s="416"/>
      <c r="G46" s="416"/>
      <c r="H46" s="416"/>
      <c r="I46" s="431"/>
      <c r="J46" s="431"/>
      <c r="K46" s="431" t="str">
        <f aca="false">J45&amp;".1"</f>
        <v>...1.1.1</v>
      </c>
      <c r="L46" s="417"/>
      <c r="P46" s="120"/>
      <c r="Q46" s="120"/>
      <c r="R46" s="435" t="n">
        <v>1</v>
      </c>
      <c r="S46" s="419" t="str">
        <f aca="false">$K46</f>
        <v>...1.1.1</v>
      </c>
      <c r="T46" s="562"/>
      <c r="U46" s="421"/>
      <c r="V46" s="438"/>
      <c r="W46" s="438"/>
      <c r="X46" s="440"/>
      <c r="Y46" s="441"/>
      <c r="Z46" s="203" t="s">
        <v>63</v>
      </c>
      <c r="AA46" s="441"/>
      <c r="AB46" s="203" t="s">
        <v>63</v>
      </c>
      <c r="AC46" s="438"/>
      <c r="AD46" s="438"/>
      <c r="AE46" s="440"/>
      <c r="AF46" s="441"/>
      <c r="AG46" s="203" t="s">
        <v>63</v>
      </c>
      <c r="AH46" s="441"/>
      <c r="AI46" s="203" t="s">
        <v>63</v>
      </c>
      <c r="AJ46" s="563"/>
      <c r="AK46" s="56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7"/>
      <c r="AN46" s="117" t="str">
        <f aca="false">IF(T46="","",T46)</f>
        <v/>
      </c>
      <c r="AO46" s="117"/>
      <c r="AP46" s="117"/>
    </row>
    <row r="47" customFormat="false" ht="12.8" hidden="false" customHeight="false" outlineLevel="0" collapsed="false">
      <c r="A47" s="415" t="s">
        <v>236</v>
      </c>
      <c r="B47" s="415" t="s">
        <v>237</v>
      </c>
      <c r="C47" s="415" t="s">
        <v>238</v>
      </c>
      <c r="D47" s="415" t="s">
        <v>510</v>
      </c>
      <c r="E47" s="416"/>
      <c r="F47" s="416"/>
      <c r="G47" s="416"/>
      <c r="H47" s="416"/>
      <c r="I47" s="431"/>
      <c r="J47" s="431"/>
      <c r="K47" s="431"/>
      <c r="L47" s="417"/>
      <c r="P47" s="120"/>
      <c r="Q47" s="120"/>
      <c r="R47" s="435"/>
      <c r="S47" s="396"/>
      <c r="T47" s="421"/>
      <c r="U47" s="421"/>
      <c r="V47" s="439"/>
      <c r="W47" s="439"/>
      <c r="X47" s="443" t="str">
        <f aca="false">Y46&amp;"-"&amp;AA46</f>
        <v>-</v>
      </c>
      <c r="Y47" s="441"/>
      <c r="Z47" s="203"/>
      <c r="AA47" s="441"/>
      <c r="AB47" s="203"/>
      <c r="AC47" s="439"/>
      <c r="AD47" s="439"/>
      <c r="AE47" s="443" t="str">
        <f aca="false">AF46&amp;"-"&amp;AH46</f>
        <v>-</v>
      </c>
      <c r="AF47" s="441"/>
      <c r="AG47" s="203"/>
      <c r="AH47" s="441"/>
      <c r="AI47" s="203"/>
      <c r="AJ47" s="565"/>
      <c r="AK47" s="564"/>
      <c r="AM47" s="117"/>
      <c r="AN47" s="117" t="str">
        <f aca="false">IF(T47="","",T47)</f>
        <v/>
      </c>
      <c r="AO47" s="117"/>
      <c r="AP47" s="117"/>
    </row>
    <row r="48" customFormat="false" ht="21" hidden="false" customHeight="true" outlineLevel="0" collapsed="false">
      <c r="A48" s="415" t="s">
        <v>236</v>
      </c>
      <c r="B48" s="415" t="s">
        <v>237</v>
      </c>
      <c r="C48" s="415" t="s">
        <v>238</v>
      </c>
      <c r="D48" s="415" t="s">
        <v>510</v>
      </c>
      <c r="E48" s="416"/>
      <c r="F48" s="416"/>
      <c r="G48" s="416"/>
      <c r="H48" s="416"/>
      <c r="I48" s="431"/>
      <c r="J48" s="431"/>
      <c r="K48" s="415"/>
      <c r="L48" s="417"/>
      <c r="P48" s="120"/>
      <c r="Q48" s="120"/>
      <c r="R48" s="432"/>
      <c r="S48" s="444"/>
      <c r="T48" s="447" t="s">
        <v>500</v>
      </c>
      <c r="U48" s="193"/>
      <c r="V48" s="193"/>
      <c r="W48" s="193"/>
      <c r="X48" s="193"/>
      <c r="Y48" s="193"/>
      <c r="Z48" s="193"/>
      <c r="AA48" s="193"/>
      <c r="AB48" s="193"/>
      <c r="AC48" s="193"/>
      <c r="AD48" s="193"/>
      <c r="AE48" s="193"/>
      <c r="AF48" s="193"/>
      <c r="AG48" s="193"/>
      <c r="AH48" s="193"/>
      <c r="AI48" s="193"/>
      <c r="AJ48" s="193"/>
      <c r="AK48" s="424" t="s">
        <v>501</v>
      </c>
      <c r="AM48" s="117"/>
      <c r="AN48" s="117" t="str">
        <f aca="false">IF(T48="","",T48)</f>
        <v>Добавить значение признака дифференциации</v>
      </c>
      <c r="AO48" s="117"/>
      <c r="AP48" s="117"/>
    </row>
    <row r="49" customFormat="false" ht="21" hidden="false" customHeight="true" outlineLevel="0" collapsed="false">
      <c r="A49" s="415" t="s">
        <v>236</v>
      </c>
      <c r="B49" s="415" t="s">
        <v>237</v>
      </c>
      <c r="C49" s="415" t="s">
        <v>238</v>
      </c>
      <c r="D49" s="415" t="s">
        <v>510</v>
      </c>
      <c r="E49" s="416"/>
      <c r="F49" s="416"/>
      <c r="G49" s="416"/>
      <c r="H49" s="416"/>
      <c r="I49" s="431"/>
      <c r="J49" s="415"/>
      <c r="K49" s="415"/>
      <c r="L49" s="417"/>
      <c r="P49" s="120"/>
      <c r="Q49" s="120"/>
      <c r="R49" s="432"/>
      <c r="S49" s="444"/>
      <c r="T49" s="451" t="s">
        <v>428</v>
      </c>
      <c r="U49" s="193"/>
      <c r="V49" s="193"/>
      <c r="W49" s="193"/>
      <c r="X49" s="193"/>
      <c r="Y49" s="193"/>
      <c r="Z49" s="193"/>
      <c r="AA49" s="193"/>
      <c r="AB49" s="448"/>
      <c r="AC49" s="193"/>
      <c r="AD49" s="193"/>
      <c r="AE49" s="193"/>
      <c r="AF49" s="193"/>
      <c r="AG49" s="193"/>
      <c r="AH49" s="193"/>
      <c r="AI49" s="448"/>
      <c r="AJ49" s="193"/>
      <c r="AK49" s="566"/>
      <c r="AM49" s="117"/>
      <c r="AN49" s="117" t="str">
        <f aca="false">IF(T49="","",T49)</f>
        <v>Добавить группу потребителей</v>
      </c>
      <c r="AO49" s="117"/>
      <c r="AP49" s="117"/>
    </row>
    <row r="50" customFormat="false" ht="21" hidden="false" customHeight="true" outlineLevel="0" collapsed="false">
      <c r="A50" s="415" t="s">
        <v>236</v>
      </c>
      <c r="B50" s="415" t="s">
        <v>237</v>
      </c>
      <c r="C50" s="415" t="s">
        <v>238</v>
      </c>
      <c r="D50" s="415" t="s">
        <v>510</v>
      </c>
      <c r="E50" s="416"/>
      <c r="F50" s="416"/>
      <c r="G50" s="416"/>
      <c r="H50" s="560"/>
      <c r="I50" s="415"/>
      <c r="J50" s="415"/>
      <c r="K50" s="415"/>
      <c r="L50" s="417"/>
      <c r="M50" s="40"/>
      <c r="N50" s="40"/>
      <c r="O50" s="45"/>
      <c r="P50" s="131"/>
      <c r="Q50" s="450"/>
      <c r="R50" s="418"/>
      <c r="S50" s="444"/>
      <c r="T50" s="567" t="s">
        <v>502</v>
      </c>
      <c r="U50" s="193"/>
      <c r="V50" s="193"/>
      <c r="W50" s="193"/>
      <c r="X50" s="193"/>
      <c r="Y50" s="193"/>
      <c r="Z50" s="193"/>
      <c r="AA50" s="193"/>
      <c r="AB50" s="448"/>
      <c r="AC50" s="193"/>
      <c r="AD50" s="193"/>
      <c r="AE50" s="193"/>
      <c r="AF50" s="193"/>
      <c r="AG50" s="193"/>
      <c r="AH50" s="193"/>
      <c r="AI50" s="448"/>
      <c r="AJ50" s="193"/>
      <c r="AK50" s="449"/>
      <c r="AM50" s="117"/>
      <c r="AN50" s="117" t="str">
        <f aca="false">IF(T50="","",T50)</f>
        <v>Добавить наименование признака дифференциации</v>
      </c>
      <c r="AO50" s="117"/>
      <c r="AP50" s="117"/>
    </row>
    <row r="51" s="47" customFormat="true" ht="12.8" hidden="false" customHeight="false" outlineLevel="0" collapsed="false">
      <c r="A51" s="121" t="s">
        <v>236</v>
      </c>
      <c r="B51" s="121" t="s">
        <v>237</v>
      </c>
      <c r="C51" s="121"/>
      <c r="D51" s="121"/>
      <c r="E51" s="416"/>
      <c r="F51" s="416"/>
      <c r="G51" s="121"/>
      <c r="H51" s="121"/>
      <c r="I51" s="121"/>
      <c r="J51" s="121"/>
      <c r="K51" s="121"/>
      <c r="L51" s="191"/>
      <c r="M51" s="456"/>
      <c r="N51" s="456"/>
      <c r="P51" s="155"/>
      <c r="Q51" s="452"/>
      <c r="R51" s="155"/>
      <c r="S51" s="457"/>
      <c r="T51" s="460" t="s">
        <v>261</v>
      </c>
      <c r="U51" s="459"/>
      <c r="V51" s="459"/>
      <c r="W51" s="459"/>
      <c r="X51" s="459"/>
      <c r="Y51" s="459"/>
      <c r="Z51" s="459"/>
      <c r="AA51" s="459"/>
      <c r="AB51" s="459"/>
      <c r="AC51" s="459"/>
      <c r="AD51" s="459"/>
      <c r="AE51" s="459"/>
      <c r="AF51" s="459"/>
      <c r="AG51" s="459"/>
      <c r="AH51" s="459"/>
      <c r="AI51" s="459"/>
      <c r="AJ51" s="459"/>
      <c r="AK51" s="459"/>
      <c r="AM51" s="117"/>
      <c r="AN51" s="117" t="str">
        <f aca="false">IF(T51="","",T51)</f>
        <v>Добавить централизованную систему для дифференциации</v>
      </c>
      <c r="AO51" s="117"/>
      <c r="AP51" s="117"/>
    </row>
    <row r="52" s="47" customFormat="true" ht="12.8" hidden="false" customHeight="false" outlineLevel="0" collapsed="false">
      <c r="A52" s="121" t="s">
        <v>236</v>
      </c>
      <c r="B52" s="121"/>
      <c r="C52" s="121"/>
      <c r="D52" s="121"/>
      <c r="E52" s="416"/>
      <c r="F52" s="121"/>
      <c r="G52" s="121"/>
      <c r="H52" s="121"/>
      <c r="I52" s="121"/>
      <c r="J52" s="121"/>
      <c r="K52" s="121"/>
      <c r="L52" s="191"/>
      <c r="M52" s="456"/>
      <c r="N52" s="456"/>
      <c r="P52" s="155"/>
      <c r="Q52" s="452"/>
      <c r="R52" s="155"/>
      <c r="S52" s="457"/>
      <c r="T52" s="460" t="s">
        <v>268</v>
      </c>
      <c r="U52" s="459"/>
      <c r="V52" s="459"/>
      <c r="W52" s="459"/>
      <c r="X52" s="459"/>
      <c r="Y52" s="459"/>
      <c r="Z52" s="459"/>
      <c r="AA52" s="459"/>
      <c r="AB52" s="459"/>
      <c r="AC52" s="459"/>
      <c r="AD52" s="459"/>
      <c r="AE52" s="459"/>
      <c r="AF52" s="459"/>
      <c r="AG52" s="459"/>
      <c r="AH52" s="459"/>
      <c r="AI52" s="459"/>
      <c r="AJ52" s="459"/>
      <c r="AK52" s="459"/>
      <c r="AM52" s="117"/>
      <c r="AN52" s="117" t="str">
        <f aca="false">IF(T52="","",T52)</f>
        <v>Добавить территорию для дифференциации</v>
      </c>
      <c r="AO52" s="117"/>
      <c r="AP52" s="117"/>
    </row>
    <row r="53" s="47" customFormat="true" ht="12.8" hidden="false" customHeight="false" outlineLevel="0" collapsed="false">
      <c r="A53" s="121"/>
      <c r="B53" s="121"/>
      <c r="C53" s="121"/>
      <c r="D53" s="121"/>
      <c r="E53" s="121"/>
      <c r="F53" s="121"/>
      <c r="G53" s="121"/>
      <c r="H53" s="121"/>
      <c r="I53" s="121"/>
      <c r="J53" s="121"/>
      <c r="K53" s="121"/>
      <c r="L53" s="191"/>
      <c r="M53" s="456"/>
      <c r="N53" s="456"/>
      <c r="P53" s="155"/>
      <c r="Q53" s="452"/>
      <c r="R53" s="155"/>
      <c r="S53" s="457"/>
      <c r="T53" s="460" t="s">
        <v>269</v>
      </c>
      <c r="U53" s="459"/>
      <c r="V53" s="459"/>
      <c r="W53" s="459"/>
      <c r="X53" s="459"/>
      <c r="Y53" s="459"/>
      <c r="Z53" s="459"/>
      <c r="AA53" s="459"/>
      <c r="AB53" s="459"/>
      <c r="AC53" s="459"/>
      <c r="AD53" s="459"/>
      <c r="AE53" s="459"/>
      <c r="AF53" s="459"/>
      <c r="AG53" s="459"/>
      <c r="AH53" s="459"/>
      <c r="AI53" s="459"/>
      <c r="AJ53" s="459"/>
      <c r="AK53" s="459"/>
      <c r="AM53" s="117"/>
      <c r="AN53" s="117" t="str">
        <f aca="false">IF(T53="","",T53)</f>
        <v>Добавить наименование тарифа</v>
      </c>
      <c r="AO53" s="117"/>
      <c r="AP53" s="117"/>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2"/>
      <c r="T55" s="491"/>
      <c r="U55" s="491"/>
      <c r="V55" s="491"/>
      <c r="W55" s="491"/>
      <c r="X55" s="491"/>
      <c r="Y55" s="491"/>
      <c r="Z55" s="491"/>
      <c r="AA55" s="491"/>
      <c r="AB55" s="491"/>
      <c r="AC55" s="491"/>
      <c r="AD55" s="491"/>
      <c r="AE55" s="491"/>
      <c r="AF55" s="491"/>
      <c r="AG55" s="491"/>
      <c r="AH55" s="491"/>
      <c r="AI55" s="491"/>
      <c r="AJ55" s="491"/>
      <c r="AK55" s="491"/>
    </row>
    <row r="56" customFormat="false" ht="14.25" hidden="false" customHeight="true" outlineLevel="0" collapsed="false">
      <c r="O56" s="45"/>
    </row>
    <row r="57" customFormat="false" ht="14.25" hidden="false" customHeight="true" outlineLevel="0" collapsed="false">
      <c r="O57" s="45"/>
      <c r="S57" s="412"/>
      <c r="T57" s="491"/>
      <c r="U57" s="491"/>
      <c r="V57" s="491"/>
      <c r="W57" s="491"/>
      <c r="X57" s="491"/>
      <c r="Y57" s="491"/>
      <c r="Z57" s="491"/>
      <c r="AA57" s="491"/>
      <c r="AB57" s="491"/>
      <c r="AC57" s="491"/>
      <c r="AD57" s="491"/>
      <c r="AE57" s="491"/>
      <c r="AF57" s="491"/>
      <c r="AG57" s="491"/>
      <c r="AH57" s="491"/>
      <c r="AI57" s="491"/>
      <c r="AJ57" s="491"/>
      <c r="AK57" s="491"/>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71"/>
    <col collapsed="false" customWidth="true" hidden="false" outlineLevel="0" max="18" min="17" style="414" width="3.71"/>
    <col collapsed="false" customWidth="true" hidden="false" outlineLevel="0" max="19" min="19" style="75" width="12.71"/>
    <col collapsed="false" customWidth="true" hidden="false" outlineLevel="0" max="20" min="20" style="42" width="35.71"/>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7" width="10.57"/>
    <col collapsed="false" customWidth="true" hidden="false" outlineLevel="0" max="40" min="40" style="47" width="11.14"/>
    <col collapsed="false" customWidth="false" hidden="false" outlineLevel="0" max="42" min="41" style="47" width="10.57"/>
  </cols>
  <sheetData>
    <row r="1" customFormat="false" ht="14.25" hidden="true" customHeight="true" outlineLevel="0" collapsed="false"/>
    <row r="2" customFormat="false" ht="23.25" hidden="true" customHeight="true" outlineLevel="0" collapsed="false">
      <c r="A2" s="415"/>
      <c r="B2" s="415"/>
      <c r="C2" s="415"/>
      <c r="D2" s="415"/>
      <c r="E2" s="416" t="n">
        <v>1</v>
      </c>
      <c r="F2" s="415"/>
      <c r="G2" s="415"/>
      <c r="H2" s="415"/>
      <c r="I2" s="415"/>
      <c r="J2" s="415"/>
      <c r="K2" s="415"/>
      <c r="L2" s="417"/>
      <c r="M2" s="40"/>
      <c r="N2" s="40"/>
      <c r="O2" s="40"/>
      <c r="Q2" s="131"/>
      <c r="R2" s="418"/>
      <c r="S2" s="419" t="e">
        <f aca="false">INDEX(PT_DIFFERENTIATION_NUM_NTAR,MATCH(A2,PT_DIFFERENTIATION_NTAR_ID,0))</f>
        <v>#N/A</v>
      </c>
      <c r="T2" s="420" t="s">
        <v>130</v>
      </c>
      <c r="U2" s="421"/>
      <c r="V2" s="422"/>
      <c r="W2" s="422"/>
      <c r="X2" s="422"/>
      <c r="Y2" s="422"/>
      <c r="Z2" s="422"/>
      <c r="AA2" s="422"/>
      <c r="AB2" s="422"/>
      <c r="AC2" s="422" t="e">
        <f aca="false">INDEX(PT_DIFFERENTIATION_NTAR,MATCH(A2,PT_DIFFERENTIATION_NTAR_ID,0))</f>
        <v>#N/A</v>
      </c>
      <c r="AD2" s="422"/>
      <c r="AE2" s="422"/>
      <c r="AF2" s="422"/>
      <c r="AG2" s="422"/>
      <c r="AH2" s="422"/>
      <c r="AI2" s="422"/>
      <c r="AJ2" s="422"/>
      <c r="AK2" s="42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7"/>
      <c r="AN2" s="117" t="str">
        <f aca="false">IF(T2="","",T2)</f>
        <v>Наименование тарифа</v>
      </c>
      <c r="AO2" s="117"/>
      <c r="AP2" s="117"/>
    </row>
    <row r="3" customFormat="false" ht="23.25" hidden="true" customHeight="true" outlineLevel="0" collapsed="false">
      <c r="A3" s="415"/>
      <c r="B3" s="415"/>
      <c r="C3" s="415"/>
      <c r="D3" s="415"/>
      <c r="E3" s="416"/>
      <c r="F3" s="416" t="n">
        <v>1</v>
      </c>
      <c r="G3" s="415"/>
      <c r="H3" s="415"/>
      <c r="I3" s="415"/>
      <c r="J3" s="415"/>
      <c r="K3" s="415"/>
      <c r="L3" s="417"/>
      <c r="M3" s="40"/>
      <c r="N3" s="40"/>
      <c r="O3" s="40"/>
      <c r="P3" s="43"/>
      <c r="Q3" s="425"/>
      <c r="R3" s="426"/>
      <c r="S3" s="419" t="e">
        <f aca="false">INDEX(PT_DIFFERENTIATION_NUM_TER,MATCH(B3,PT_DIFFERENTIATION_TER_ID,0))</f>
        <v>#N/A</v>
      </c>
      <c r="T3" s="427" t="s">
        <v>413</v>
      </c>
      <c r="U3" s="421"/>
      <c r="V3" s="422"/>
      <c r="W3" s="422"/>
      <c r="X3" s="422"/>
      <c r="Y3" s="422"/>
      <c r="Z3" s="422"/>
      <c r="AA3" s="422"/>
      <c r="AB3" s="422"/>
      <c r="AC3" s="422" t="e">
        <f aca="false">INDEX(PT_DIFFERENTIATION_TER,MATCH(B3,PT_DIFFERENTIATION_TER_ID,0))</f>
        <v>#N/A</v>
      </c>
      <c r="AD3" s="422"/>
      <c r="AE3" s="422"/>
      <c r="AF3" s="422"/>
      <c r="AG3" s="422"/>
      <c r="AH3" s="422"/>
      <c r="AI3" s="422"/>
      <c r="AJ3" s="422"/>
      <c r="AK3" s="424" t="s">
        <v>414</v>
      </c>
      <c r="AM3" s="117"/>
      <c r="AN3" s="117" t="str">
        <f aca="false">IF(T3="","",T3)</f>
        <v>Территория действия тарифа</v>
      </c>
      <c r="AO3" s="117"/>
      <c r="AP3" s="117"/>
    </row>
    <row r="4" customFormat="false" ht="23.25" hidden="true" customHeight="true" outlineLevel="0" collapsed="false">
      <c r="A4" s="415"/>
      <c r="B4" s="415"/>
      <c r="C4" s="415"/>
      <c r="D4" s="415"/>
      <c r="E4" s="416"/>
      <c r="F4" s="416"/>
      <c r="G4" s="416" t="n">
        <v>1</v>
      </c>
      <c r="H4" s="415"/>
      <c r="I4" s="415"/>
      <c r="J4" s="415"/>
      <c r="K4" s="415"/>
      <c r="L4" s="417"/>
      <c r="M4" s="40"/>
      <c r="N4" s="40"/>
      <c r="O4" s="40"/>
      <c r="P4" s="428"/>
      <c r="Q4" s="425"/>
      <c r="R4" s="426"/>
      <c r="S4" s="419" t="e">
        <f aca="false">INDEX(PT_DIFFERENTIATION_NUM_CS,MATCH(C4,PT_DIFFERENTIATION_CS_ID,0))</f>
        <v>#N/A</v>
      </c>
      <c r="T4" s="429" t="s">
        <v>495</v>
      </c>
      <c r="U4" s="421"/>
      <c r="V4" s="422"/>
      <c r="W4" s="422"/>
      <c r="X4" s="422"/>
      <c r="Y4" s="422"/>
      <c r="Z4" s="422"/>
      <c r="AA4" s="422"/>
      <c r="AB4" s="422"/>
      <c r="AC4" s="422" t="e">
        <f aca="false">INDEX(PT_DIFFERENTIATION_CS,MATCH(C4,PT_DIFFERENTIATION_CS_ID,0))</f>
        <v>#N/A</v>
      </c>
      <c r="AD4" s="422"/>
      <c r="AE4" s="422"/>
      <c r="AF4" s="422"/>
      <c r="AG4" s="422"/>
      <c r="AH4" s="422"/>
      <c r="AI4" s="422"/>
      <c r="AJ4" s="422"/>
      <c r="AK4" s="424" t="s">
        <v>496</v>
      </c>
      <c r="AM4" s="117"/>
      <c r="AN4" s="117" t="str">
        <f aca="false">IF(T4="","",T4)</f>
        <v>Наименование централизованной системы холодного водоснабжения</v>
      </c>
      <c r="AO4" s="117"/>
      <c r="AP4" s="117"/>
    </row>
    <row r="5" customFormat="false" ht="23.25" hidden="true" customHeight="true" outlineLevel="0" collapsed="false">
      <c r="A5" s="415"/>
      <c r="B5" s="415"/>
      <c r="C5" s="415"/>
      <c r="D5" s="415"/>
      <c r="E5" s="416"/>
      <c r="F5" s="416"/>
      <c r="G5" s="416"/>
      <c r="H5" s="560"/>
      <c r="I5" s="431" t="e">
        <f aca="false">S4&amp;".1"</f>
        <v>#N/A</v>
      </c>
      <c r="J5" s="415"/>
      <c r="K5" s="415"/>
      <c r="L5" s="417"/>
      <c r="P5" s="120" t="n">
        <v>1</v>
      </c>
      <c r="Q5" s="120"/>
      <c r="R5" s="432"/>
      <c r="S5" s="419" t="e">
        <f aca="false">$I5</f>
        <v>#N/A</v>
      </c>
      <c r="T5" s="433" t="s">
        <v>497</v>
      </c>
      <c r="U5" s="421"/>
      <c r="V5" s="561"/>
      <c r="W5" s="561"/>
      <c r="X5" s="561"/>
      <c r="Y5" s="561"/>
      <c r="Z5" s="561"/>
      <c r="AA5" s="561"/>
      <c r="AB5" s="561"/>
      <c r="AC5" s="245"/>
      <c r="AD5" s="245"/>
      <c r="AE5" s="245"/>
      <c r="AF5" s="245"/>
      <c r="AG5" s="245"/>
      <c r="AH5" s="245"/>
      <c r="AI5" s="245"/>
      <c r="AJ5" s="245"/>
      <c r="AK5" s="424" t="s">
        <v>498</v>
      </c>
      <c r="AM5" s="117"/>
      <c r="AN5" s="117" t="str">
        <f aca="false">IF(T5="","",T5)</f>
        <v>Наименование признака дифференциации</v>
      </c>
      <c r="AO5" s="117"/>
      <c r="AP5" s="117"/>
    </row>
    <row r="6" customFormat="false" ht="23.25" hidden="true" customHeight="true" outlineLevel="0" collapsed="false">
      <c r="A6" s="415"/>
      <c r="B6" s="415"/>
      <c r="C6" s="415"/>
      <c r="D6" s="415"/>
      <c r="E6" s="416"/>
      <c r="F6" s="416"/>
      <c r="G6" s="416"/>
      <c r="H6" s="416"/>
      <c r="I6" s="431"/>
      <c r="J6" s="431" t="e">
        <f aca="false">I5&amp;".1"</f>
        <v>#N/A</v>
      </c>
      <c r="K6" s="415"/>
      <c r="L6" s="417" t="s">
        <v>422</v>
      </c>
      <c r="P6" s="120"/>
      <c r="Q6" s="120" t="n">
        <v>1</v>
      </c>
      <c r="R6" s="435"/>
      <c r="S6" s="419" t="e">
        <f aca="false">$J6</f>
        <v>#N/A</v>
      </c>
      <c r="T6" s="436" t="s">
        <v>423</v>
      </c>
      <c r="U6" s="421"/>
      <c r="V6" s="434"/>
      <c r="W6" s="434"/>
      <c r="X6" s="434"/>
      <c r="Y6" s="434"/>
      <c r="Z6" s="434"/>
      <c r="AA6" s="434"/>
      <c r="AB6" s="434"/>
      <c r="AC6" s="434"/>
      <c r="AD6" s="434"/>
      <c r="AE6" s="434"/>
      <c r="AF6" s="434"/>
      <c r="AG6" s="434"/>
      <c r="AH6" s="434"/>
      <c r="AI6" s="434"/>
      <c r="AJ6" s="434"/>
      <c r="AK6" s="514" t="s">
        <v>499</v>
      </c>
      <c r="AM6" s="117"/>
      <c r="AN6" s="117" t="str">
        <f aca="false">IF(T6="","",T6)</f>
        <v>Группа потребителей</v>
      </c>
      <c r="AO6" s="117"/>
      <c r="AP6" s="117"/>
    </row>
    <row r="7" customFormat="false" ht="23.25" hidden="true" customHeight="true" outlineLevel="0" collapsed="false">
      <c r="A7" s="415"/>
      <c r="B7" s="415"/>
      <c r="C7" s="415"/>
      <c r="D7" s="415"/>
      <c r="E7" s="416"/>
      <c r="F7" s="416"/>
      <c r="G7" s="416"/>
      <c r="H7" s="416"/>
      <c r="I7" s="431"/>
      <c r="J7" s="431"/>
      <c r="K7" s="431" t="e">
        <f aca="false">J6&amp;".1"</f>
        <v>#N/A</v>
      </c>
      <c r="L7" s="417"/>
      <c r="P7" s="120"/>
      <c r="Q7" s="120"/>
      <c r="R7" s="435" t="n">
        <v>1</v>
      </c>
      <c r="S7" s="419" t="e">
        <f aca="false">$K7</f>
        <v>#N/A</v>
      </c>
      <c r="T7" s="562"/>
      <c r="U7" s="421"/>
      <c r="V7" s="438"/>
      <c r="W7" s="438"/>
      <c r="X7" s="440"/>
      <c r="Y7" s="441"/>
      <c r="Z7" s="203" t="s">
        <v>63</v>
      </c>
      <c r="AA7" s="441"/>
      <c r="AB7" s="203" t="s">
        <v>63</v>
      </c>
      <c r="AC7" s="438"/>
      <c r="AD7" s="438"/>
      <c r="AE7" s="440"/>
      <c r="AF7" s="441"/>
      <c r="AG7" s="203" t="s">
        <v>63</v>
      </c>
      <c r="AH7" s="441"/>
      <c r="AI7" s="203" t="s">
        <v>63</v>
      </c>
      <c r="AJ7" s="563"/>
      <c r="AK7" s="56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7"/>
      <c r="AN7" s="117" t="str">
        <f aca="false">IF(T7="","",T7)</f>
        <v/>
      </c>
      <c r="AO7" s="117"/>
      <c r="AP7" s="117"/>
    </row>
    <row r="8" customFormat="false" ht="14.25" hidden="true" customHeight="true" outlineLevel="0" collapsed="false">
      <c r="A8" s="415"/>
      <c r="B8" s="415"/>
      <c r="C8" s="415"/>
      <c r="D8" s="415"/>
      <c r="E8" s="416"/>
      <c r="F8" s="416"/>
      <c r="G8" s="416"/>
      <c r="H8" s="416"/>
      <c r="I8" s="431"/>
      <c r="J8" s="431"/>
      <c r="K8" s="431"/>
      <c r="L8" s="417"/>
      <c r="P8" s="120"/>
      <c r="Q8" s="120"/>
      <c r="R8" s="435"/>
      <c r="S8" s="396"/>
      <c r="T8" s="421"/>
      <c r="U8" s="421"/>
      <c r="V8" s="439"/>
      <c r="W8" s="439"/>
      <c r="X8" s="443" t="str">
        <f aca="false">Y7&amp;"-"&amp;AA7</f>
        <v>-</v>
      </c>
      <c r="Y8" s="441"/>
      <c r="Z8" s="203"/>
      <c r="AA8" s="441"/>
      <c r="AB8" s="203"/>
      <c r="AC8" s="439"/>
      <c r="AD8" s="439"/>
      <c r="AE8" s="443" t="str">
        <f aca="false">AF7&amp;"-"&amp;AH7</f>
        <v>-</v>
      </c>
      <c r="AF8" s="441"/>
      <c r="AG8" s="203"/>
      <c r="AH8" s="441"/>
      <c r="AI8" s="203"/>
      <c r="AJ8" s="565"/>
      <c r="AK8" s="564"/>
      <c r="AM8" s="117"/>
      <c r="AN8" s="117" t="str">
        <f aca="false">IF(T8="","",T8)</f>
        <v/>
      </c>
      <c r="AO8" s="117"/>
      <c r="AP8" s="117"/>
    </row>
    <row r="9" customFormat="false" ht="21" hidden="true" customHeight="true" outlineLevel="0" collapsed="false">
      <c r="A9" s="415"/>
      <c r="B9" s="415"/>
      <c r="C9" s="415"/>
      <c r="D9" s="415"/>
      <c r="E9" s="416"/>
      <c r="F9" s="416"/>
      <c r="G9" s="416"/>
      <c r="H9" s="416"/>
      <c r="I9" s="431"/>
      <c r="J9" s="431"/>
      <c r="K9" s="415"/>
      <c r="L9" s="417"/>
      <c r="P9" s="120"/>
      <c r="Q9" s="120"/>
      <c r="R9" s="432"/>
      <c r="S9" s="444"/>
      <c r="T9" s="447" t="s">
        <v>500</v>
      </c>
      <c r="U9" s="193"/>
      <c r="V9" s="193"/>
      <c r="W9" s="193"/>
      <c r="X9" s="193"/>
      <c r="Y9" s="193"/>
      <c r="Z9" s="193"/>
      <c r="AA9" s="193"/>
      <c r="AB9" s="193"/>
      <c r="AC9" s="193"/>
      <c r="AD9" s="193"/>
      <c r="AE9" s="193"/>
      <c r="AF9" s="193"/>
      <c r="AG9" s="193"/>
      <c r="AH9" s="193"/>
      <c r="AI9" s="193"/>
      <c r="AJ9" s="193"/>
      <c r="AK9" s="424" t="s">
        <v>501</v>
      </c>
      <c r="AM9" s="117"/>
      <c r="AN9" s="117" t="str">
        <f aca="false">IF(T9="","",T9)</f>
        <v>Добавить значение признака дифференциации</v>
      </c>
      <c r="AO9" s="117"/>
      <c r="AP9" s="117"/>
    </row>
    <row r="10" customFormat="false" ht="21" hidden="true" customHeight="true" outlineLevel="0" collapsed="false">
      <c r="A10" s="415"/>
      <c r="B10" s="415"/>
      <c r="C10" s="415"/>
      <c r="D10" s="415"/>
      <c r="E10" s="416"/>
      <c r="F10" s="416"/>
      <c r="G10" s="416"/>
      <c r="H10" s="416"/>
      <c r="I10" s="431"/>
      <c r="J10" s="415"/>
      <c r="K10" s="415"/>
      <c r="L10" s="417"/>
      <c r="P10" s="120"/>
      <c r="Q10" s="120"/>
      <c r="R10" s="432"/>
      <c r="S10" s="444"/>
      <c r="T10" s="451" t="s">
        <v>428</v>
      </c>
      <c r="U10" s="193"/>
      <c r="V10" s="193"/>
      <c r="W10" s="193"/>
      <c r="X10" s="193"/>
      <c r="Y10" s="193"/>
      <c r="Z10" s="193"/>
      <c r="AA10" s="193"/>
      <c r="AB10" s="448"/>
      <c r="AC10" s="193"/>
      <c r="AD10" s="193"/>
      <c r="AE10" s="193"/>
      <c r="AF10" s="193"/>
      <c r="AG10" s="193"/>
      <c r="AH10" s="193"/>
      <c r="AI10" s="448"/>
      <c r="AJ10" s="193"/>
      <c r="AK10" s="566"/>
      <c r="AM10" s="117"/>
      <c r="AN10" s="117" t="str">
        <f aca="false">IF(T10="","",T10)</f>
        <v>Добавить группу потребителей</v>
      </c>
      <c r="AO10" s="117"/>
      <c r="AP10" s="117"/>
    </row>
    <row r="11" customFormat="false" ht="21" hidden="true" customHeight="true" outlineLevel="0" collapsed="false">
      <c r="A11" s="415"/>
      <c r="B11" s="415"/>
      <c r="C11" s="415"/>
      <c r="D11" s="415"/>
      <c r="E11" s="416"/>
      <c r="F11" s="416"/>
      <c r="G11" s="416"/>
      <c r="H11" s="560"/>
      <c r="I11" s="415"/>
      <c r="J11" s="415"/>
      <c r="K11" s="415"/>
      <c r="L11" s="417"/>
      <c r="M11" s="40"/>
      <c r="N11" s="40"/>
      <c r="O11" s="45"/>
      <c r="P11" s="131"/>
      <c r="Q11" s="450"/>
      <c r="R11" s="418"/>
      <c r="S11" s="444"/>
      <c r="T11" s="567" t="s">
        <v>502</v>
      </c>
      <c r="U11" s="193"/>
      <c r="V11" s="193"/>
      <c r="W11" s="193"/>
      <c r="X11" s="193"/>
      <c r="Y11" s="193"/>
      <c r="Z11" s="193"/>
      <c r="AA11" s="193"/>
      <c r="AB11" s="448"/>
      <c r="AC11" s="193"/>
      <c r="AD11" s="193"/>
      <c r="AE11" s="193"/>
      <c r="AF11" s="193"/>
      <c r="AG11" s="193"/>
      <c r="AH11" s="193"/>
      <c r="AI11" s="448"/>
      <c r="AJ11" s="193"/>
      <c r="AK11" s="449"/>
      <c r="AM11" s="117"/>
      <c r="AN11" s="117" t="str">
        <f aca="false">IF(T11="","",T11)</f>
        <v>Добавить наименование признака дифференциации</v>
      </c>
      <c r="AO11" s="117"/>
      <c r="AP11" s="117"/>
    </row>
    <row r="12" s="47" customFormat="true" ht="14.25" hidden="true" customHeight="true" outlineLevel="0" collapsed="false">
      <c r="A12" s="121"/>
      <c r="B12" s="121"/>
      <c r="C12" s="121"/>
      <c r="D12" s="121"/>
      <c r="E12" s="416"/>
      <c r="F12" s="416"/>
      <c r="G12" s="121"/>
      <c r="H12" s="121"/>
      <c r="I12" s="121"/>
      <c r="J12" s="121"/>
      <c r="K12" s="121"/>
      <c r="L12" s="191"/>
      <c r="M12" s="456"/>
      <c r="N12" s="456"/>
      <c r="P12" s="155"/>
      <c r="Q12" s="452"/>
      <c r="R12" s="155"/>
      <c r="S12" s="457"/>
      <c r="T12" s="460" t="s">
        <v>261</v>
      </c>
      <c r="U12" s="459"/>
      <c r="V12" s="459"/>
      <c r="W12" s="459"/>
      <c r="X12" s="459"/>
      <c r="Y12" s="459"/>
      <c r="Z12" s="459"/>
      <c r="AA12" s="459"/>
      <c r="AB12" s="459"/>
      <c r="AC12" s="459"/>
      <c r="AD12" s="459"/>
      <c r="AE12" s="459"/>
      <c r="AF12" s="459"/>
      <c r="AG12" s="459"/>
      <c r="AH12" s="459"/>
      <c r="AI12" s="459"/>
      <c r="AJ12" s="459"/>
      <c r="AK12" s="459"/>
      <c r="AM12" s="117"/>
      <c r="AN12" s="117" t="str">
        <f aca="false">IF(T12="","",T12)</f>
        <v>Добавить централизованную систему для дифференциации</v>
      </c>
      <c r="AO12" s="117"/>
      <c r="AP12" s="117"/>
    </row>
    <row r="13" s="47" customFormat="true" ht="14.25" hidden="true" customHeight="true" outlineLevel="0" collapsed="false">
      <c r="A13" s="121"/>
      <c r="B13" s="121"/>
      <c r="C13" s="121"/>
      <c r="D13" s="121"/>
      <c r="E13" s="416"/>
      <c r="F13" s="121"/>
      <c r="G13" s="121"/>
      <c r="H13" s="121"/>
      <c r="I13" s="121"/>
      <c r="J13" s="121"/>
      <c r="K13" s="121"/>
      <c r="L13" s="191"/>
      <c r="M13" s="456"/>
      <c r="N13" s="456"/>
      <c r="P13" s="155"/>
      <c r="Q13" s="452"/>
      <c r="R13" s="155"/>
      <c r="S13" s="457"/>
      <c r="T13" s="460" t="s">
        <v>268</v>
      </c>
      <c r="U13" s="459"/>
      <c r="V13" s="459"/>
      <c r="W13" s="459"/>
      <c r="X13" s="459"/>
      <c r="Y13" s="459"/>
      <c r="Z13" s="459"/>
      <c r="AA13" s="459"/>
      <c r="AB13" s="459"/>
      <c r="AC13" s="459"/>
      <c r="AD13" s="459"/>
      <c r="AE13" s="459"/>
      <c r="AF13" s="459"/>
      <c r="AG13" s="459"/>
      <c r="AH13" s="459"/>
      <c r="AI13" s="459"/>
      <c r="AJ13" s="459"/>
      <c r="AK13" s="459"/>
      <c r="AM13" s="117"/>
      <c r="AN13" s="117" t="str">
        <f aca="false">IF(T13="","",T13)</f>
        <v>Добавить территорию для дифференциации</v>
      </c>
      <c r="AO13" s="117"/>
      <c r="AP13" s="117"/>
    </row>
    <row r="14" customFormat="false" ht="14.25" hidden="true" customHeight="true" outlineLevel="0" collapsed="false"/>
    <row r="15" customFormat="false" ht="14.25" hidden="true" customHeight="true" outlineLevel="0" collapsed="false">
      <c r="AC15" s="461"/>
      <c r="AD15" s="461"/>
      <c r="AE15" s="462"/>
      <c r="AF15" s="463"/>
      <c r="AG15" s="464" t="s">
        <v>63</v>
      </c>
      <c r="AH15" s="463"/>
      <c r="AI15" s="464" t="s">
        <v>63</v>
      </c>
    </row>
    <row r="16" customFormat="false" ht="14.25" hidden="true" customHeight="true" outlineLevel="0" collapsed="false">
      <c r="AC16" s="461"/>
      <c r="AD16" s="461"/>
      <c r="AE16" s="443" t="str">
        <f aca="false">AF15&amp;"-"&amp;AH15</f>
        <v>-</v>
      </c>
      <c r="AF16" s="463"/>
      <c r="AG16" s="463"/>
      <c r="AH16" s="463"/>
      <c r="AI16" s="463"/>
    </row>
    <row r="17" customFormat="false" ht="14.25" hidden="true" customHeight="true" outlineLevel="0" collapsed="false"/>
    <row r="18" s="45" customFormat="true" ht="22.5" hidden="true" customHeight="true" outlineLevel="0" collapsed="false">
      <c r="L18" s="44"/>
      <c r="M18" s="51"/>
      <c r="N18" s="51"/>
      <c r="O18" s="465" t="s">
        <v>431</v>
      </c>
      <c r="P18" s="51"/>
      <c r="Q18" s="466"/>
      <c r="R18" s="466"/>
      <c r="S18" s="40"/>
      <c r="Y18" s="465"/>
      <c r="AA18" s="465"/>
      <c r="AF18" s="465"/>
      <c r="AH18" s="465"/>
      <c r="AL18" s="47"/>
      <c r="AM18" s="47"/>
      <c r="AN18" s="47"/>
      <c r="AO18" s="47"/>
      <c r="AP18" s="47"/>
    </row>
    <row r="19" s="45" customFormat="true" ht="14.25" hidden="true" customHeight="true" outlineLevel="0" collapsed="false">
      <c r="L19" s="44"/>
      <c r="M19" s="51"/>
      <c r="N19" s="51"/>
      <c r="O19" s="51"/>
      <c r="P19" s="51"/>
      <c r="Q19" s="466"/>
      <c r="R19" s="466"/>
      <c r="S19" s="40"/>
      <c r="AL19" s="47"/>
      <c r="AM19" s="47"/>
      <c r="AN19" s="47"/>
      <c r="AO19" s="47"/>
      <c r="AP19" s="47"/>
    </row>
    <row r="20" s="45" customFormat="true" ht="12" hidden="true" customHeight="true" outlineLevel="0" collapsed="false">
      <c r="L20" s="44"/>
      <c r="M20" s="51"/>
      <c r="N20" s="51"/>
      <c r="O20" s="417" t="s">
        <v>432</v>
      </c>
      <c r="P20" s="51"/>
      <c r="Q20" s="568"/>
      <c r="R20" s="568"/>
      <c r="S20" s="40"/>
      <c r="T20" s="45" t="s">
        <v>433</v>
      </c>
      <c r="Z20" s="139" t="s">
        <v>434</v>
      </c>
      <c r="AB20" s="139" t="s">
        <v>435</v>
      </c>
      <c r="AC20" s="45" t="s">
        <v>433</v>
      </c>
      <c r="AG20" s="139" t="s">
        <v>436</v>
      </c>
      <c r="AI20" s="139" t="s">
        <v>435</v>
      </c>
    </row>
    <row r="21" customFormat="false" ht="14.25" hidden="true" customHeight="true" outlineLevel="0" collapsed="false">
      <c r="O21" s="417"/>
    </row>
    <row r="22" customFormat="false" ht="14.25" hidden="true" customHeight="true" outlineLevel="0" collapsed="false">
      <c r="O22" s="417"/>
    </row>
    <row r="23" customFormat="false" ht="14.25" hidden="false" customHeight="true" outlineLevel="0" collapsed="false">
      <c r="Q23" s="467"/>
      <c r="R23" s="467"/>
      <c r="S23" s="468"/>
      <c r="T23" s="79"/>
      <c r="U23" s="79"/>
    </row>
    <row r="24" customFormat="false" ht="14.25" hidden="false" customHeight="true" outlineLevel="0" collapsed="false">
      <c r="Q24" s="467"/>
      <c r="R24" s="467"/>
      <c r="S24" s="212"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
      <c r="U24" s="212"/>
      <c r="V24" s="212"/>
      <c r="W24" s="212"/>
      <c r="X24" s="212"/>
      <c r="Y24" s="212"/>
      <c r="Z24" s="212"/>
      <c r="AA24" s="212"/>
      <c r="AB24" s="212"/>
      <c r="AC24" s="212"/>
      <c r="AD24" s="212"/>
      <c r="AE24" s="212"/>
      <c r="AF24" s="212"/>
      <c r="AG24" s="212"/>
      <c r="AH24" s="212"/>
      <c r="AI24" s="214"/>
    </row>
    <row r="25" customFormat="false" ht="14.25" hidden="false" customHeight="true" outlineLevel="0" collapsed="false">
      <c r="Q25" s="467"/>
      <c r="R25" s="467"/>
      <c r="S25" s="265" t="str">
        <f aca="false">IF(org=0,"Не определено",org)</f>
        <v>ООО "Газпром теплоэнерго Ярославль"</v>
      </c>
      <c r="T25" s="265"/>
      <c r="U25" s="265"/>
      <c r="V25" s="265"/>
      <c r="W25" s="265"/>
      <c r="X25" s="265"/>
      <c r="Y25" s="265"/>
      <c r="Z25" s="265"/>
      <c r="AA25" s="265"/>
      <c r="AB25" s="265"/>
      <c r="AC25" s="265"/>
      <c r="AD25" s="265"/>
      <c r="AE25" s="265"/>
      <c r="AF25" s="265"/>
      <c r="AG25" s="265"/>
      <c r="AH25" s="265"/>
      <c r="AI25" s="214"/>
    </row>
    <row r="26" customFormat="false" ht="14.25" hidden="false" customHeight="true" outlineLevel="0" collapsed="false">
      <c r="Q26" s="467"/>
      <c r="R26" s="467"/>
      <c r="S26" s="468"/>
      <c r="T26" s="79"/>
      <c r="U26" s="79"/>
      <c r="V26" s="469"/>
      <c r="W26" s="469"/>
      <c r="X26" s="469"/>
      <c r="Y26" s="469"/>
      <c r="Z26" s="469"/>
      <c r="AA26" s="469"/>
      <c r="AB26" s="469"/>
      <c r="AC26" s="469"/>
      <c r="AD26" s="469"/>
      <c r="AE26" s="469"/>
      <c r="AF26" s="469"/>
      <c r="AG26" s="469"/>
      <c r="AH26" s="469"/>
      <c r="AI26" s="469"/>
    </row>
    <row r="27" s="174" customFormat="true" ht="25.5" hidden="false" customHeight="true" outlineLevel="0" collapsed="false">
      <c r="A27" s="139"/>
      <c r="B27" s="139"/>
      <c r="C27" s="139"/>
      <c r="D27" s="139"/>
      <c r="E27" s="139"/>
      <c r="F27" s="139"/>
      <c r="G27" s="139"/>
      <c r="H27" s="139"/>
      <c r="I27" s="139"/>
      <c r="J27" s="139"/>
      <c r="K27" s="139"/>
      <c r="L27" s="417"/>
      <c r="M27" s="139"/>
      <c r="N27" s="139"/>
      <c r="O27" s="139"/>
      <c r="S27" s="470" t="s">
        <v>37</v>
      </c>
      <c r="T27" s="470"/>
      <c r="U27" s="471"/>
      <c r="V27" s="472" t="str">
        <f aca="false">IF(TITLE_NAME_OR_PR_CHANGE="",IF(TITLE_NAME_OR_PR="","",TITLE_NAME_OR_PR),TITLE_NAME_OR_PR_CHANGE)</f>
        <v>Министерство тарифного регулирования Ярославской области</v>
      </c>
      <c r="W27" s="472"/>
      <c r="X27" s="472"/>
      <c r="Y27" s="472"/>
      <c r="Z27" s="472"/>
      <c r="AA27" s="472"/>
      <c r="AB27" s="42"/>
      <c r="AC27" s="472" t="str">
        <f aca="false">IF(TITLE_NAME_OR_PR_CHANGE="",IF(TITLE_NAME_OR_PR="","",TITLE_NAME_OR_PR),TITLE_NAME_OR_PR_CHANGE)</f>
        <v>Министерство тарифного регулирования Ярославской области</v>
      </c>
      <c r="AD27" s="472"/>
      <c r="AE27" s="472"/>
      <c r="AF27" s="472"/>
      <c r="AG27" s="472"/>
      <c r="AH27" s="472"/>
      <c r="AI27" s="42"/>
      <c r="AJ27" s="42"/>
      <c r="AK27" s="473"/>
      <c r="AL27" s="117"/>
      <c r="AM27" s="117"/>
      <c r="AN27" s="117"/>
      <c r="AO27" s="117"/>
      <c r="AP27" s="117"/>
    </row>
    <row r="28" s="174" customFormat="true" ht="18.75" hidden="false" customHeight="true" outlineLevel="0" collapsed="false">
      <c r="A28" s="139"/>
      <c r="B28" s="139"/>
      <c r="C28" s="139"/>
      <c r="D28" s="139"/>
      <c r="E28" s="139"/>
      <c r="F28" s="139"/>
      <c r="G28" s="139"/>
      <c r="H28" s="139"/>
      <c r="I28" s="139"/>
      <c r="J28" s="139"/>
      <c r="K28" s="139"/>
      <c r="L28" s="417"/>
      <c r="M28" s="139"/>
      <c r="N28" s="139"/>
      <c r="O28" s="139"/>
      <c r="S28" s="470" t="s">
        <v>437</v>
      </c>
      <c r="T28" s="470"/>
      <c r="U28" s="471"/>
      <c r="V28" s="474" t="str">
        <f aca="false">IF(TITLE_DATE_PR_CHANGE="",IF(TITLE_DATE_PR="","",TITLE_DATE_PR),TITLE_DATE_PR_CHANGE)</f>
        <v>45279.46460648148</v>
      </c>
      <c r="W28" s="474"/>
      <c r="X28" s="474"/>
      <c r="Y28" s="474"/>
      <c r="Z28" s="474"/>
      <c r="AA28" s="474"/>
      <c r="AB28" s="42"/>
      <c r="AC28" s="474" t="str">
        <f aca="false">IF(TITLE_DATE_PR_CHANGE="",IF(TITLE_DATE_PR="","",TITLE_DATE_PR),TITLE_DATE_PR_CHANGE)</f>
        <v>45279.46460648148</v>
      </c>
      <c r="AD28" s="474"/>
      <c r="AE28" s="474"/>
      <c r="AF28" s="474"/>
      <c r="AG28" s="474"/>
      <c r="AH28" s="474"/>
      <c r="AI28" s="42"/>
      <c r="AJ28" s="42"/>
      <c r="AK28" s="473"/>
      <c r="AL28" s="117"/>
      <c r="AM28" s="117"/>
      <c r="AN28" s="117"/>
      <c r="AO28" s="117"/>
      <c r="AP28" s="117"/>
    </row>
    <row r="29" s="174" customFormat="true" ht="18.75" hidden="false" customHeight="true" outlineLevel="0" collapsed="false">
      <c r="A29" s="139"/>
      <c r="B29" s="139"/>
      <c r="C29" s="139"/>
      <c r="D29" s="139"/>
      <c r="E29" s="139"/>
      <c r="F29" s="139"/>
      <c r="G29" s="139"/>
      <c r="H29" s="139"/>
      <c r="I29" s="139"/>
      <c r="J29" s="139"/>
      <c r="K29" s="139"/>
      <c r="L29" s="417"/>
      <c r="M29" s="139"/>
      <c r="N29" s="139"/>
      <c r="O29" s="139"/>
      <c r="S29" s="470" t="s">
        <v>438</v>
      </c>
      <c r="T29" s="470"/>
      <c r="U29" s="471"/>
      <c r="V29" s="472" t="str">
        <f aca="false">IF(TITLE_NUMBER_PR_CHANGE="",IF(TITLE_NUMBER_PR="","",TITLE_NUMBER_PR),TITLE_NUMBER_PR_CHANGE)</f>
        <v>403-гвс, 404-гвс, 406-гвс</v>
      </c>
      <c r="W29" s="472"/>
      <c r="X29" s="472"/>
      <c r="Y29" s="472"/>
      <c r="Z29" s="472"/>
      <c r="AA29" s="472"/>
      <c r="AB29" s="42"/>
      <c r="AC29" s="472" t="str">
        <f aca="false">IF(TITLE_NUMBER_PR_CHANGE="",IF(TITLE_NUMBER_PR="","",TITLE_NUMBER_PR),TITLE_NUMBER_PR_CHANGE)</f>
        <v>403-гвс, 404-гвс, 406-гвс</v>
      </c>
      <c r="AD29" s="472"/>
      <c r="AE29" s="472"/>
      <c r="AF29" s="472"/>
      <c r="AG29" s="472"/>
      <c r="AH29" s="472"/>
      <c r="AI29" s="42"/>
      <c r="AJ29" s="42"/>
      <c r="AK29" s="473"/>
      <c r="AL29" s="117"/>
      <c r="AM29" s="117"/>
      <c r="AN29" s="117"/>
      <c r="AO29" s="117"/>
      <c r="AP29" s="117"/>
    </row>
    <row r="30" s="174" customFormat="true" ht="18.75" hidden="false" customHeight="true" outlineLevel="0" collapsed="false">
      <c r="A30" s="139"/>
      <c r="B30" s="139"/>
      <c r="C30" s="139"/>
      <c r="D30" s="139"/>
      <c r="E30" s="139"/>
      <c r="F30" s="139"/>
      <c r="G30" s="139"/>
      <c r="H30" s="139"/>
      <c r="I30" s="139"/>
      <c r="J30" s="139"/>
      <c r="K30" s="139"/>
      <c r="L30" s="417"/>
      <c r="M30" s="139"/>
      <c r="N30" s="139"/>
      <c r="O30" s="139"/>
      <c r="S30" s="470" t="s">
        <v>39</v>
      </c>
      <c r="T30" s="470"/>
      <c r="U30" s="471"/>
      <c r="V30" s="472" t="str">
        <f aca="false">IF(TITLE_IST_PUB_CHANGE="",IF(TITLE_IST_PUB="","",TITLE_IST_PUB),TITLE_IST_PUB_CHANGE)</f>
        <v>официальный интернет- портал правовой информации www.pravo.gov.ru</v>
      </c>
      <c r="W30" s="472"/>
      <c r="X30" s="472"/>
      <c r="Y30" s="472"/>
      <c r="Z30" s="472"/>
      <c r="AA30" s="472"/>
      <c r="AB30" s="42"/>
      <c r="AC30" s="472" t="str">
        <f aca="false">IF(TITLE_IST_PUB_CHANGE="",IF(TITLE_IST_PUB="","",TITLE_IST_PUB),TITLE_IST_PUB_CHANGE)</f>
        <v>официальный интернет- портал правовой информации www.pravo.gov.ru</v>
      </c>
      <c r="AD30" s="472"/>
      <c r="AE30" s="472"/>
      <c r="AF30" s="472"/>
      <c r="AG30" s="472"/>
      <c r="AH30" s="472"/>
      <c r="AI30" s="42"/>
      <c r="AJ30" s="42"/>
      <c r="AK30" s="473"/>
      <c r="AL30" s="117"/>
      <c r="AM30" s="117"/>
      <c r="AN30" s="117"/>
      <c r="AO30" s="117"/>
      <c r="AP30" s="117"/>
    </row>
    <row r="31" customFormat="false" ht="14.25" hidden="true" customHeight="true" outlineLevel="0" collapsed="false">
      <c r="Q31" s="467"/>
      <c r="R31" s="467"/>
      <c r="S31" s="468"/>
      <c r="T31" s="79"/>
      <c r="U31" s="79"/>
      <c r="V31" s="469"/>
      <c r="W31" s="469"/>
      <c r="X31" s="469"/>
      <c r="Y31" s="469"/>
      <c r="Z31" s="469"/>
      <c r="AA31" s="469"/>
      <c r="AB31" s="469"/>
      <c r="AC31" s="469"/>
      <c r="AD31" s="469"/>
      <c r="AE31" s="469"/>
      <c r="AF31" s="469"/>
      <c r="AG31" s="469"/>
      <c r="AH31" s="469"/>
      <c r="AI31" s="469"/>
    </row>
    <row r="32" s="174" customFormat="true" ht="18.75" hidden="true" customHeight="true" outlineLevel="0" collapsed="false">
      <c r="A32" s="139"/>
      <c r="B32" s="139"/>
      <c r="C32" s="139"/>
      <c r="D32" s="139"/>
      <c r="E32" s="139"/>
      <c r="F32" s="139"/>
      <c r="G32" s="139"/>
      <c r="H32" s="139"/>
      <c r="I32" s="139"/>
      <c r="J32" s="139"/>
      <c r="K32" s="139"/>
      <c r="L32" s="417"/>
      <c r="M32" s="139"/>
      <c r="N32" s="139"/>
      <c r="O32" s="139"/>
      <c r="S32" s="470" t="s">
        <v>439</v>
      </c>
      <c r="T32" s="470"/>
      <c r="U32" s="471"/>
      <c r="V32" s="474" t="str">
        <f aca="false">IF(TITLE_DATE_PR_CHANGE="",IF(TITLE_DATE_PR="","",TITLE_DATE_PR),TITLE_DATE_PR_CHANGE)</f>
        <v>45279.46460648148</v>
      </c>
      <c r="W32" s="474"/>
      <c r="X32" s="474"/>
      <c r="Y32" s="474"/>
      <c r="Z32" s="474"/>
      <c r="AA32" s="474"/>
      <c r="AB32" s="42"/>
      <c r="AC32" s="474" t="str">
        <f aca="false">IF(TITLE_DATE_PR_CHANGE="",IF(TITLE_DATE_PR="","",TITLE_DATE_PR),TITLE_DATE_PR_CHANGE)</f>
        <v>45279.46460648148</v>
      </c>
      <c r="AD32" s="474"/>
      <c r="AE32" s="474"/>
      <c r="AF32" s="474"/>
      <c r="AG32" s="474"/>
      <c r="AH32" s="474"/>
      <c r="AI32" s="42"/>
      <c r="AJ32" s="42"/>
      <c r="AK32" s="473"/>
      <c r="AL32" s="117"/>
      <c r="AM32" s="117"/>
      <c r="AN32" s="117"/>
      <c r="AO32" s="117"/>
      <c r="AP32" s="117"/>
    </row>
    <row r="33" s="174" customFormat="true" ht="18.75" hidden="true" customHeight="true" outlineLevel="0" collapsed="false">
      <c r="A33" s="139"/>
      <c r="B33" s="139"/>
      <c r="C33" s="139"/>
      <c r="D33" s="139"/>
      <c r="E33" s="139"/>
      <c r="F33" s="139"/>
      <c r="G33" s="139"/>
      <c r="H33" s="139"/>
      <c r="I33" s="139"/>
      <c r="J33" s="139"/>
      <c r="K33" s="139"/>
      <c r="L33" s="417"/>
      <c r="M33" s="139"/>
      <c r="N33" s="139"/>
      <c r="O33" s="139"/>
      <c r="S33" s="470" t="s">
        <v>440</v>
      </c>
      <c r="T33" s="470"/>
      <c r="U33" s="471"/>
      <c r="V33" s="472" t="str">
        <f aca="false">IF(TITLE_NUMBER_PR_CHANGE="",IF(TITLE_NUMBER_PR="","",TITLE_NUMBER_PR),TITLE_NUMBER_PR_CHANGE)</f>
        <v>403-гвс, 404-гвс, 406-гвс</v>
      </c>
      <c r="W33" s="472"/>
      <c r="X33" s="472"/>
      <c r="Y33" s="472"/>
      <c r="Z33" s="472"/>
      <c r="AA33" s="472"/>
      <c r="AB33" s="42"/>
      <c r="AC33" s="472" t="str">
        <f aca="false">IF(TITLE_NUMBER_PR_CHANGE="",IF(TITLE_NUMBER_PR="","",TITLE_NUMBER_PR),TITLE_NUMBER_PR_CHANGE)</f>
        <v>403-гвс, 404-гвс, 406-гвс</v>
      </c>
      <c r="AD33" s="472"/>
      <c r="AE33" s="472"/>
      <c r="AF33" s="472"/>
      <c r="AG33" s="472"/>
      <c r="AH33" s="472"/>
      <c r="AI33" s="42"/>
      <c r="AJ33" s="42"/>
      <c r="AK33" s="473"/>
      <c r="AL33" s="117"/>
      <c r="AM33" s="117"/>
      <c r="AN33" s="117"/>
      <c r="AO33" s="117"/>
      <c r="AP33" s="117"/>
    </row>
    <row r="34" s="174" customFormat="true" ht="0.75" hidden="false" customHeight="true" outlineLevel="0" collapsed="false">
      <c r="A34" s="139"/>
      <c r="B34" s="139"/>
      <c r="C34" s="139"/>
      <c r="D34" s="139"/>
      <c r="E34" s="139"/>
      <c r="F34" s="139"/>
      <c r="G34" s="139"/>
      <c r="H34" s="139"/>
      <c r="I34" s="139"/>
      <c r="J34" s="139"/>
      <c r="K34" s="139"/>
      <c r="L34" s="417"/>
      <c r="M34" s="139"/>
      <c r="N34" s="139"/>
      <c r="O34" s="139"/>
      <c r="S34" s="42"/>
      <c r="T34" s="42"/>
      <c r="U34" s="127"/>
      <c r="V34" s="42"/>
      <c r="W34" s="42"/>
      <c r="X34" s="42"/>
      <c r="Y34" s="42"/>
      <c r="Z34" s="42"/>
      <c r="AA34" s="42"/>
      <c r="AB34" s="47" t="s">
        <v>441</v>
      </c>
      <c r="AC34" s="42"/>
      <c r="AD34" s="42"/>
      <c r="AE34" s="42"/>
      <c r="AF34" s="42"/>
      <c r="AG34" s="42"/>
      <c r="AH34" s="42"/>
      <c r="AI34" s="47" t="s">
        <v>441</v>
      </c>
      <c r="AL34" s="117"/>
      <c r="AM34" s="117"/>
      <c r="AN34" s="117"/>
      <c r="AO34" s="117"/>
      <c r="AP34" s="117"/>
    </row>
    <row r="35" customFormat="false" ht="14.25" hidden="false" customHeight="true" outlineLevel="0" collapsed="false">
      <c r="Q35" s="467"/>
      <c r="R35" s="467"/>
      <c r="S35" s="468"/>
      <c r="T35" s="79"/>
      <c r="U35" s="475"/>
      <c r="V35" s="476"/>
      <c r="W35" s="476"/>
      <c r="X35" s="476"/>
      <c r="Y35" s="476"/>
      <c r="Z35" s="476"/>
      <c r="AA35" s="476"/>
      <c r="AB35" s="476"/>
      <c r="AC35" s="476"/>
      <c r="AD35" s="476"/>
      <c r="AE35" s="476"/>
      <c r="AF35" s="476"/>
      <c r="AG35" s="476"/>
      <c r="AH35" s="476"/>
      <c r="AI35" s="476"/>
    </row>
    <row r="36" customFormat="false" ht="14.25" hidden="false" customHeight="true" outlineLevel="0" collapsed="false">
      <c r="Q36" s="467"/>
      <c r="R36" s="467"/>
      <c r="S36" s="133" t="s">
        <v>316</v>
      </c>
      <c r="T36" s="133"/>
      <c r="U36" s="133"/>
      <c r="V36" s="133"/>
      <c r="W36" s="133"/>
      <c r="X36" s="133"/>
      <c r="Y36" s="133"/>
      <c r="Z36" s="133"/>
      <c r="AA36" s="133"/>
      <c r="AB36" s="133"/>
      <c r="AC36" s="133"/>
      <c r="AD36" s="133"/>
      <c r="AE36" s="133"/>
      <c r="AF36" s="133"/>
      <c r="AG36" s="133"/>
      <c r="AH36" s="133"/>
      <c r="AI36" s="133"/>
      <c r="AJ36" s="133"/>
      <c r="AK36" s="133" t="s">
        <v>317</v>
      </c>
    </row>
    <row r="37" customFormat="false" ht="14.25" hidden="false" customHeight="true" outlineLevel="0" collapsed="false">
      <c r="Q37" s="467"/>
      <c r="R37" s="467"/>
      <c r="S37" s="477" t="s">
        <v>84</v>
      </c>
      <c r="T37" s="394" t="s">
        <v>442</v>
      </c>
      <c r="U37" s="478"/>
      <c r="V37" s="300" t="s">
        <v>443</v>
      </c>
      <c r="W37" s="300"/>
      <c r="X37" s="300"/>
      <c r="Y37" s="300"/>
      <c r="Z37" s="300"/>
      <c r="AA37" s="300"/>
      <c r="AB37" s="394" t="s">
        <v>444</v>
      </c>
      <c r="AC37" s="300" t="s">
        <v>443</v>
      </c>
      <c r="AD37" s="300"/>
      <c r="AE37" s="300"/>
      <c r="AF37" s="300"/>
      <c r="AG37" s="300"/>
      <c r="AH37" s="300"/>
      <c r="AI37" s="394" t="s">
        <v>445</v>
      </c>
      <c r="AJ37" s="479" t="s">
        <v>446</v>
      </c>
      <c r="AK37" s="133"/>
    </row>
    <row r="38" customFormat="false" ht="33.75" hidden="false" customHeight="true" outlineLevel="0" collapsed="false">
      <c r="Q38" s="467"/>
      <c r="R38" s="467"/>
      <c r="S38" s="477"/>
      <c r="T38" s="394"/>
      <c r="U38" s="480"/>
      <c r="V38" s="266" t="s">
        <v>503</v>
      </c>
      <c r="W38" s="133" t="s">
        <v>449</v>
      </c>
      <c r="X38" s="133"/>
      <c r="Y38" s="133" t="s">
        <v>450</v>
      </c>
      <c r="Z38" s="133"/>
      <c r="AA38" s="133"/>
      <c r="AB38" s="394"/>
      <c r="AC38" s="266" t="s">
        <v>503</v>
      </c>
      <c r="AD38" s="133" t="s">
        <v>449</v>
      </c>
      <c r="AE38" s="133"/>
      <c r="AF38" s="133" t="s">
        <v>450</v>
      </c>
      <c r="AG38" s="133"/>
      <c r="AH38" s="133"/>
      <c r="AI38" s="394"/>
      <c r="AJ38" s="479"/>
      <c r="AK38" s="133"/>
    </row>
    <row r="39" customFormat="false" ht="33.75" hidden="false" customHeight="true" outlineLevel="0" collapsed="false">
      <c r="A39" s="139"/>
      <c r="B39" s="139" t="s">
        <v>142</v>
      </c>
      <c r="C39" s="139" t="s">
        <v>143</v>
      </c>
      <c r="D39" s="139" t="s">
        <v>144</v>
      </c>
      <c r="E39" s="417" t="s">
        <v>451</v>
      </c>
      <c r="F39" s="417" t="s">
        <v>452</v>
      </c>
      <c r="G39" s="417" t="s">
        <v>453</v>
      </c>
      <c r="H39" s="417"/>
      <c r="I39" s="417" t="s">
        <v>504</v>
      </c>
      <c r="J39" s="417" t="s">
        <v>456</v>
      </c>
      <c r="K39" s="417" t="s">
        <v>505</v>
      </c>
      <c r="L39" s="417" t="s">
        <v>432</v>
      </c>
      <c r="Q39" s="467"/>
      <c r="R39" s="467"/>
      <c r="S39" s="477"/>
      <c r="T39" s="394"/>
      <c r="U39" s="481"/>
      <c r="V39" s="266" t="s">
        <v>506</v>
      </c>
      <c r="W39" s="184" t="s">
        <v>507</v>
      </c>
      <c r="X39" s="184" t="s">
        <v>508</v>
      </c>
      <c r="Y39" s="184" t="s">
        <v>460</v>
      </c>
      <c r="Z39" s="184" t="s">
        <v>461</v>
      </c>
      <c r="AA39" s="184"/>
      <c r="AB39" s="394"/>
      <c r="AC39" s="266" t="s">
        <v>506</v>
      </c>
      <c r="AD39" s="184" t="s">
        <v>507</v>
      </c>
      <c r="AE39" s="184" t="s">
        <v>508</v>
      </c>
      <c r="AF39" s="184" t="s">
        <v>460</v>
      </c>
      <c r="AG39" s="184" t="s">
        <v>461</v>
      </c>
      <c r="AH39" s="184"/>
      <c r="AI39" s="394"/>
      <c r="AJ39" s="479"/>
      <c r="AK39" s="133"/>
    </row>
    <row r="40" s="119" customFormat="true" ht="12.8" hidden="false" customHeight="false" outlineLevel="0" collapsed="false">
      <c r="A40" s="139"/>
      <c r="B40" s="139"/>
      <c r="C40" s="139"/>
      <c r="D40" s="139"/>
      <c r="E40" s="139"/>
      <c r="F40" s="139"/>
      <c r="G40" s="139"/>
      <c r="H40" s="139"/>
      <c r="I40" s="139"/>
      <c r="J40" s="139"/>
      <c r="K40" s="139"/>
      <c r="L40" s="417"/>
      <c r="M40" s="51"/>
      <c r="N40" s="51"/>
      <c r="O40" s="51"/>
      <c r="P40" s="482"/>
      <c r="Q40" s="483"/>
      <c r="R40" s="484" t="n">
        <v>1</v>
      </c>
      <c r="S40" s="485" t="s">
        <v>117</v>
      </c>
      <c r="T40" s="486" t="s">
        <v>99</v>
      </c>
      <c r="U40" s="487" t="str">
        <f aca="true">OFFSET(U40,0,-1)</f>
        <v>2</v>
      </c>
      <c r="V40" s="488" t="n">
        <f aca="true">OFFSET(V40,0,-1)+1</f>
        <v>3</v>
      </c>
      <c r="W40" s="488" t="n">
        <f aca="true">OFFSET(W40,0,-1)+1</f>
        <v>4</v>
      </c>
      <c r="X40" s="488" t="n">
        <f aca="true">OFFSET(X40,0,-1)+1</f>
        <v>5</v>
      </c>
      <c r="Y40" s="488" t="n">
        <f aca="true">OFFSET(Y40,0,-1)+1</f>
        <v>6</v>
      </c>
      <c r="Z40" s="488" t="n">
        <f aca="true">OFFSET(Z40,0,-1)+1</f>
        <v>7</v>
      </c>
      <c r="AA40" s="488"/>
      <c r="AB40" s="488" t="n">
        <f aca="true">OFFSET(AB40,0,-2)+1</f>
        <v>8</v>
      </c>
      <c r="AC40" s="488" t="n">
        <f aca="true">OFFSET(AC40,0,-1)+1</f>
        <v>9</v>
      </c>
      <c r="AD40" s="488" t="n">
        <f aca="true">OFFSET(AD40,0,-1)+1</f>
        <v>10</v>
      </c>
      <c r="AE40" s="488" t="n">
        <f aca="true">OFFSET(AE40,0,-1)+1</f>
        <v>11</v>
      </c>
      <c r="AF40" s="488" t="n">
        <f aca="true">OFFSET(AF40,0,-1)+1</f>
        <v>12</v>
      </c>
      <c r="AG40" s="488" t="n">
        <f aca="true">OFFSET(AG40,0,-1)+1</f>
        <v>13</v>
      </c>
      <c r="AH40" s="488"/>
      <c r="AI40" s="488" t="n">
        <f aca="true">OFFSET(AI40,0,-2)+1</f>
        <v>14</v>
      </c>
      <c r="AJ40" s="487" t="n">
        <f aca="true">OFFSET(AJ40,0,-1)</f>
        <v>14</v>
      </c>
      <c r="AK40" s="488" t="n">
        <f aca="true">OFFSET(AK40,0,-1)+1</f>
        <v>15</v>
      </c>
      <c r="AL40" s="47"/>
      <c r="AM40" s="47"/>
      <c r="AN40" s="47"/>
      <c r="AO40" s="47"/>
      <c r="AP40" s="47"/>
    </row>
    <row r="41" customFormat="false" ht="23.25" hidden="false" customHeight="true" outlineLevel="0" collapsed="false">
      <c r="A41" s="415" t="s">
        <v>241</v>
      </c>
      <c r="B41" s="415"/>
      <c r="C41" s="415"/>
      <c r="D41" s="415"/>
      <c r="E41" s="416" t="n">
        <v>1</v>
      </c>
      <c r="F41" s="415"/>
      <c r="G41" s="415"/>
      <c r="H41" s="415"/>
      <c r="I41" s="415"/>
      <c r="J41" s="415"/>
      <c r="K41" s="415"/>
      <c r="L41" s="417"/>
      <c r="M41" s="40"/>
      <c r="N41" s="40"/>
      <c r="O41" s="40"/>
      <c r="Q41" s="131"/>
      <c r="R41" s="418"/>
      <c r="S41" s="419" t="n">
        <f aca="false">INDEX(PT_DIFFERENTIATION_NUM_NTAR,MATCH(A41,PT_DIFFERENTIATION_NTAR_ID,0))</f>
        <v>0</v>
      </c>
      <c r="T41" s="420" t="s">
        <v>130</v>
      </c>
      <c r="U41" s="421"/>
      <c r="V41" s="422"/>
      <c r="W41" s="422"/>
      <c r="X41" s="422"/>
      <c r="Y41" s="422"/>
      <c r="Z41" s="422"/>
      <c r="AA41" s="422"/>
      <c r="AB41" s="422"/>
      <c r="AC41" s="422" t="str">
        <f aca="false">INDEX(PT_DIFFERENTIATION_NTAR,MATCH(A41,PT_DIFFERENTIATION_NTAR_ID,0))</f>
        <v/>
      </c>
      <c r="AD41" s="422"/>
      <c r="AE41" s="422"/>
      <c r="AF41" s="422"/>
      <c r="AG41" s="422"/>
      <c r="AH41" s="422"/>
      <c r="AI41" s="422"/>
      <c r="AJ41" s="422"/>
      <c r="AK41" s="42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7"/>
      <c r="AN41" s="117" t="str">
        <f aca="false">IF(T41="","",T41)</f>
        <v>Наименование тарифа</v>
      </c>
      <c r="AO41" s="117"/>
      <c r="AP41" s="117"/>
    </row>
    <row r="42" customFormat="false" ht="23.25" hidden="false" customHeight="true" outlineLevel="0" collapsed="false">
      <c r="A42" s="415" t="s">
        <v>241</v>
      </c>
      <c r="B42" s="415" t="s">
        <v>242</v>
      </c>
      <c r="C42" s="415"/>
      <c r="D42" s="415"/>
      <c r="E42" s="416"/>
      <c r="F42" s="416" t="n">
        <v>1</v>
      </c>
      <c r="G42" s="415"/>
      <c r="H42" s="415"/>
      <c r="I42" s="415"/>
      <c r="J42" s="415"/>
      <c r="K42" s="415"/>
      <c r="L42" s="417"/>
      <c r="M42" s="40"/>
      <c r="N42" s="40"/>
      <c r="O42" s="40"/>
      <c r="P42" s="43"/>
      <c r="Q42" s="425"/>
      <c r="R42" s="426"/>
      <c r="S42" s="419" t="str">
        <f aca="false">INDEX(PT_DIFFERENTIATION_NUM_TER,MATCH(B42,PT_DIFFERENTIATION_TER_ID,0))</f>
        <v>.</v>
      </c>
      <c r="T42" s="427" t="s">
        <v>413</v>
      </c>
      <c r="U42" s="421"/>
      <c r="V42" s="422"/>
      <c r="W42" s="422"/>
      <c r="X42" s="422"/>
      <c r="Y42" s="422"/>
      <c r="Z42" s="422"/>
      <c r="AA42" s="422"/>
      <c r="AB42" s="422"/>
      <c r="AC42" s="422" t="str">
        <f aca="false">INDEX(PT_DIFFERENTIATION_TER,MATCH(B42,PT_DIFFERENTIATION_TER_ID,0))</f>
        <v/>
      </c>
      <c r="AD42" s="422"/>
      <c r="AE42" s="422"/>
      <c r="AF42" s="422"/>
      <c r="AG42" s="422"/>
      <c r="AH42" s="422"/>
      <c r="AI42" s="422"/>
      <c r="AJ42" s="422"/>
      <c r="AK42" s="424" t="s">
        <v>414</v>
      </c>
      <c r="AM42" s="117"/>
      <c r="AN42" s="117" t="str">
        <f aca="false">IF(T42="","",T42)</f>
        <v>Территория действия тарифа</v>
      </c>
      <c r="AO42" s="117"/>
      <c r="AP42" s="117"/>
    </row>
    <row r="43" customFormat="false" ht="23.25" hidden="false" customHeight="true" outlineLevel="0" collapsed="false">
      <c r="A43" s="415" t="s">
        <v>241</v>
      </c>
      <c r="B43" s="415" t="s">
        <v>242</v>
      </c>
      <c r="C43" s="415" t="s">
        <v>243</v>
      </c>
      <c r="D43" s="415"/>
      <c r="E43" s="416"/>
      <c r="F43" s="416"/>
      <c r="G43" s="416" t="n">
        <v>1</v>
      </c>
      <c r="H43" s="415"/>
      <c r="I43" s="415"/>
      <c r="J43" s="415"/>
      <c r="K43" s="415"/>
      <c r="L43" s="417"/>
      <c r="M43" s="40"/>
      <c r="N43" s="40"/>
      <c r="O43" s="40"/>
      <c r="P43" s="428"/>
      <c r="Q43" s="425"/>
      <c r="R43" s="426"/>
      <c r="S43" s="419" t="str">
        <f aca="false">INDEX(PT_DIFFERENTIATION_NUM_CS,MATCH(C43,PT_DIFFERENTIATION_CS_ID,0))</f>
        <v>..</v>
      </c>
      <c r="T43" s="429" t="s">
        <v>495</v>
      </c>
      <c r="U43" s="421"/>
      <c r="V43" s="422"/>
      <c r="W43" s="422"/>
      <c r="X43" s="422"/>
      <c r="Y43" s="422"/>
      <c r="Z43" s="422"/>
      <c r="AA43" s="422"/>
      <c r="AB43" s="422"/>
      <c r="AC43" s="422" t="str">
        <f aca="false">INDEX(PT_DIFFERENTIATION_CS,MATCH(C43,PT_DIFFERENTIATION_CS_ID,0))</f>
        <v/>
      </c>
      <c r="AD43" s="422"/>
      <c r="AE43" s="422"/>
      <c r="AF43" s="422"/>
      <c r="AG43" s="422"/>
      <c r="AH43" s="422"/>
      <c r="AI43" s="422"/>
      <c r="AJ43" s="422"/>
      <c r="AK43" s="424" t="s">
        <v>496</v>
      </c>
      <c r="AM43" s="117"/>
      <c r="AN43" s="117" t="str">
        <f aca="false">IF(T43="","",T43)</f>
        <v>Наименование централизованной системы холодного водоснабжения</v>
      </c>
      <c r="AO43" s="117"/>
      <c r="AP43" s="117"/>
    </row>
    <row r="44" customFormat="false" ht="23.25" hidden="false" customHeight="true" outlineLevel="0" collapsed="false">
      <c r="A44" s="415" t="s">
        <v>241</v>
      </c>
      <c r="B44" s="415" t="s">
        <v>242</v>
      </c>
      <c r="C44" s="415" t="s">
        <v>243</v>
      </c>
      <c r="D44" s="415" t="s">
        <v>511</v>
      </c>
      <c r="E44" s="416"/>
      <c r="F44" s="416"/>
      <c r="G44" s="416"/>
      <c r="H44" s="560"/>
      <c r="I44" s="431" t="str">
        <f aca="false">S43&amp;".1"</f>
        <v>...1</v>
      </c>
      <c r="J44" s="415"/>
      <c r="K44" s="415"/>
      <c r="L44" s="417"/>
      <c r="P44" s="120" t="n">
        <v>1</v>
      </c>
      <c r="Q44" s="120"/>
      <c r="R44" s="432"/>
      <c r="S44" s="419" t="str">
        <f aca="false">$I44</f>
        <v>...1</v>
      </c>
      <c r="T44" s="433" t="s">
        <v>497</v>
      </c>
      <c r="U44" s="421"/>
      <c r="V44" s="561"/>
      <c r="W44" s="561"/>
      <c r="X44" s="561"/>
      <c r="Y44" s="561"/>
      <c r="Z44" s="561"/>
      <c r="AA44" s="561"/>
      <c r="AB44" s="561"/>
      <c r="AC44" s="245"/>
      <c r="AD44" s="245"/>
      <c r="AE44" s="245"/>
      <c r="AF44" s="245"/>
      <c r="AG44" s="245"/>
      <c r="AH44" s="245"/>
      <c r="AI44" s="245"/>
      <c r="AJ44" s="245"/>
      <c r="AK44" s="424" t="s">
        <v>498</v>
      </c>
      <c r="AM44" s="117"/>
      <c r="AN44" s="117" t="str">
        <f aca="false">IF(T44="","",T44)</f>
        <v>Наименование признака дифференциации</v>
      </c>
      <c r="AO44" s="117"/>
      <c r="AP44" s="117"/>
    </row>
    <row r="45" customFormat="false" ht="23.25" hidden="false" customHeight="true" outlineLevel="0" collapsed="false">
      <c r="A45" s="415" t="s">
        <v>241</v>
      </c>
      <c r="B45" s="415" t="s">
        <v>242</v>
      </c>
      <c r="C45" s="415" t="s">
        <v>243</v>
      </c>
      <c r="D45" s="415" t="s">
        <v>511</v>
      </c>
      <c r="E45" s="416"/>
      <c r="F45" s="416"/>
      <c r="G45" s="416"/>
      <c r="H45" s="416"/>
      <c r="I45" s="431"/>
      <c r="J45" s="431" t="str">
        <f aca="false">I44&amp;".1"</f>
        <v>...1.1</v>
      </c>
      <c r="K45" s="415"/>
      <c r="L45" s="417" t="s">
        <v>422</v>
      </c>
      <c r="P45" s="120"/>
      <c r="Q45" s="120" t="n">
        <v>1</v>
      </c>
      <c r="R45" s="435"/>
      <c r="S45" s="419" t="str">
        <f aca="false">$J45</f>
        <v>...1.1</v>
      </c>
      <c r="T45" s="436" t="s">
        <v>423</v>
      </c>
      <c r="U45" s="421"/>
      <c r="V45" s="434"/>
      <c r="W45" s="434"/>
      <c r="X45" s="434"/>
      <c r="Y45" s="434"/>
      <c r="Z45" s="434"/>
      <c r="AA45" s="434"/>
      <c r="AB45" s="434"/>
      <c r="AC45" s="434"/>
      <c r="AD45" s="434"/>
      <c r="AE45" s="434"/>
      <c r="AF45" s="434"/>
      <c r="AG45" s="434"/>
      <c r="AH45" s="434"/>
      <c r="AI45" s="434"/>
      <c r="AJ45" s="434"/>
      <c r="AK45" s="514" t="s">
        <v>499</v>
      </c>
      <c r="AM45" s="117"/>
      <c r="AN45" s="117" t="str">
        <f aca="false">IF(T45="","",T45)</f>
        <v>Группа потребителей</v>
      </c>
      <c r="AO45" s="117"/>
      <c r="AP45" s="117"/>
    </row>
    <row r="46" customFormat="false" ht="23.25" hidden="false" customHeight="true" outlineLevel="0" collapsed="false">
      <c r="A46" s="415" t="s">
        <v>241</v>
      </c>
      <c r="B46" s="415" t="s">
        <v>242</v>
      </c>
      <c r="C46" s="415" t="s">
        <v>243</v>
      </c>
      <c r="D46" s="415" t="s">
        <v>511</v>
      </c>
      <c r="E46" s="416"/>
      <c r="F46" s="416"/>
      <c r="G46" s="416"/>
      <c r="H46" s="416"/>
      <c r="I46" s="431"/>
      <c r="J46" s="431"/>
      <c r="K46" s="431" t="str">
        <f aca="false">J45&amp;".1"</f>
        <v>...1.1.1</v>
      </c>
      <c r="L46" s="417"/>
      <c r="P46" s="120"/>
      <c r="Q46" s="120"/>
      <c r="R46" s="435" t="n">
        <v>1</v>
      </c>
      <c r="S46" s="419" t="str">
        <f aca="false">$K46</f>
        <v>...1.1.1</v>
      </c>
      <c r="T46" s="562"/>
      <c r="U46" s="421"/>
      <c r="V46" s="438"/>
      <c r="W46" s="438"/>
      <c r="X46" s="440"/>
      <c r="Y46" s="441"/>
      <c r="Z46" s="203" t="s">
        <v>63</v>
      </c>
      <c r="AA46" s="441"/>
      <c r="AB46" s="203" t="s">
        <v>63</v>
      </c>
      <c r="AC46" s="438"/>
      <c r="AD46" s="438"/>
      <c r="AE46" s="440"/>
      <c r="AF46" s="441"/>
      <c r="AG46" s="203" t="s">
        <v>63</v>
      </c>
      <c r="AH46" s="441"/>
      <c r="AI46" s="203" t="s">
        <v>63</v>
      </c>
      <c r="AJ46" s="563"/>
      <c r="AK46" s="56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7"/>
      <c r="AN46" s="117" t="str">
        <f aca="false">IF(T46="","",T46)</f>
        <v/>
      </c>
      <c r="AO46" s="117"/>
      <c r="AP46" s="117"/>
    </row>
    <row r="47" customFormat="false" ht="12.8" hidden="false" customHeight="false" outlineLevel="0" collapsed="false">
      <c r="A47" s="415" t="s">
        <v>241</v>
      </c>
      <c r="B47" s="415" t="s">
        <v>242</v>
      </c>
      <c r="C47" s="415" t="s">
        <v>243</v>
      </c>
      <c r="D47" s="415" t="s">
        <v>511</v>
      </c>
      <c r="E47" s="416"/>
      <c r="F47" s="416"/>
      <c r="G47" s="416"/>
      <c r="H47" s="416"/>
      <c r="I47" s="431"/>
      <c r="J47" s="431"/>
      <c r="K47" s="431"/>
      <c r="L47" s="417"/>
      <c r="P47" s="120"/>
      <c r="Q47" s="120"/>
      <c r="R47" s="435"/>
      <c r="S47" s="396"/>
      <c r="T47" s="421"/>
      <c r="U47" s="421"/>
      <c r="V47" s="439"/>
      <c r="W47" s="439"/>
      <c r="X47" s="443" t="str">
        <f aca="false">Y46&amp;"-"&amp;AA46</f>
        <v>-</v>
      </c>
      <c r="Y47" s="441"/>
      <c r="Z47" s="203"/>
      <c r="AA47" s="441"/>
      <c r="AB47" s="203"/>
      <c r="AC47" s="439"/>
      <c r="AD47" s="439"/>
      <c r="AE47" s="443" t="str">
        <f aca="false">AF46&amp;"-"&amp;AH46</f>
        <v>-</v>
      </c>
      <c r="AF47" s="441"/>
      <c r="AG47" s="203"/>
      <c r="AH47" s="441"/>
      <c r="AI47" s="203"/>
      <c r="AJ47" s="565"/>
      <c r="AK47" s="564"/>
      <c r="AM47" s="117"/>
      <c r="AN47" s="117" t="str">
        <f aca="false">IF(T47="","",T47)</f>
        <v/>
      </c>
      <c r="AO47" s="117"/>
      <c r="AP47" s="117"/>
    </row>
    <row r="48" customFormat="false" ht="21" hidden="false" customHeight="true" outlineLevel="0" collapsed="false">
      <c r="A48" s="415" t="s">
        <v>241</v>
      </c>
      <c r="B48" s="415" t="s">
        <v>242</v>
      </c>
      <c r="C48" s="415" t="s">
        <v>243</v>
      </c>
      <c r="D48" s="415" t="s">
        <v>511</v>
      </c>
      <c r="E48" s="416"/>
      <c r="F48" s="416"/>
      <c r="G48" s="416"/>
      <c r="H48" s="416"/>
      <c r="I48" s="431"/>
      <c r="J48" s="431"/>
      <c r="K48" s="415"/>
      <c r="L48" s="417"/>
      <c r="P48" s="120"/>
      <c r="Q48" s="120"/>
      <c r="R48" s="432"/>
      <c r="S48" s="444"/>
      <c r="T48" s="447" t="s">
        <v>500</v>
      </c>
      <c r="U48" s="193"/>
      <c r="V48" s="193"/>
      <c r="W48" s="193"/>
      <c r="X48" s="193"/>
      <c r="Y48" s="193"/>
      <c r="Z48" s="193"/>
      <c r="AA48" s="193"/>
      <c r="AB48" s="193"/>
      <c r="AC48" s="193"/>
      <c r="AD48" s="193"/>
      <c r="AE48" s="193"/>
      <c r="AF48" s="193"/>
      <c r="AG48" s="193"/>
      <c r="AH48" s="193"/>
      <c r="AI48" s="193"/>
      <c r="AJ48" s="193"/>
      <c r="AK48" s="424" t="s">
        <v>501</v>
      </c>
      <c r="AM48" s="117"/>
      <c r="AN48" s="117" t="str">
        <f aca="false">IF(T48="","",T48)</f>
        <v>Добавить значение признака дифференциации</v>
      </c>
      <c r="AO48" s="117"/>
      <c r="AP48" s="117"/>
    </row>
    <row r="49" customFormat="false" ht="21" hidden="false" customHeight="true" outlineLevel="0" collapsed="false">
      <c r="A49" s="415" t="s">
        <v>241</v>
      </c>
      <c r="B49" s="415" t="s">
        <v>242</v>
      </c>
      <c r="C49" s="415" t="s">
        <v>243</v>
      </c>
      <c r="D49" s="415" t="s">
        <v>511</v>
      </c>
      <c r="E49" s="416"/>
      <c r="F49" s="416"/>
      <c r="G49" s="416"/>
      <c r="H49" s="416"/>
      <c r="I49" s="431"/>
      <c r="J49" s="415"/>
      <c r="K49" s="415"/>
      <c r="L49" s="417"/>
      <c r="P49" s="120"/>
      <c r="Q49" s="120"/>
      <c r="R49" s="432"/>
      <c r="S49" s="444"/>
      <c r="T49" s="451" t="s">
        <v>428</v>
      </c>
      <c r="U49" s="193"/>
      <c r="V49" s="193"/>
      <c r="W49" s="193"/>
      <c r="X49" s="193"/>
      <c r="Y49" s="193"/>
      <c r="Z49" s="193"/>
      <c r="AA49" s="193"/>
      <c r="AB49" s="448"/>
      <c r="AC49" s="193"/>
      <c r="AD49" s="193"/>
      <c r="AE49" s="193"/>
      <c r="AF49" s="193"/>
      <c r="AG49" s="193"/>
      <c r="AH49" s="193"/>
      <c r="AI49" s="448"/>
      <c r="AJ49" s="193"/>
      <c r="AK49" s="566"/>
      <c r="AM49" s="117"/>
      <c r="AN49" s="117" t="str">
        <f aca="false">IF(T49="","",T49)</f>
        <v>Добавить группу потребителей</v>
      </c>
      <c r="AO49" s="117"/>
      <c r="AP49" s="117"/>
    </row>
    <row r="50" customFormat="false" ht="21" hidden="false" customHeight="true" outlineLevel="0" collapsed="false">
      <c r="A50" s="415" t="s">
        <v>241</v>
      </c>
      <c r="B50" s="415" t="s">
        <v>242</v>
      </c>
      <c r="C50" s="415" t="s">
        <v>243</v>
      </c>
      <c r="D50" s="415" t="s">
        <v>511</v>
      </c>
      <c r="E50" s="416"/>
      <c r="F50" s="416"/>
      <c r="G50" s="416"/>
      <c r="H50" s="560"/>
      <c r="I50" s="415"/>
      <c r="J50" s="415"/>
      <c r="K50" s="415"/>
      <c r="L50" s="417"/>
      <c r="M50" s="40"/>
      <c r="N50" s="40"/>
      <c r="O50" s="45"/>
      <c r="P50" s="131"/>
      <c r="Q50" s="450"/>
      <c r="R50" s="418"/>
      <c r="S50" s="444"/>
      <c r="T50" s="567" t="s">
        <v>502</v>
      </c>
      <c r="U50" s="193"/>
      <c r="V50" s="193"/>
      <c r="W50" s="193"/>
      <c r="X50" s="193"/>
      <c r="Y50" s="193"/>
      <c r="Z50" s="193"/>
      <c r="AA50" s="193"/>
      <c r="AB50" s="448"/>
      <c r="AC50" s="193"/>
      <c r="AD50" s="193"/>
      <c r="AE50" s="193"/>
      <c r="AF50" s="193"/>
      <c r="AG50" s="193"/>
      <c r="AH50" s="193"/>
      <c r="AI50" s="448"/>
      <c r="AJ50" s="193"/>
      <c r="AK50" s="449"/>
      <c r="AM50" s="117"/>
      <c r="AN50" s="117" t="str">
        <f aca="false">IF(T50="","",T50)</f>
        <v>Добавить наименование признака дифференциации</v>
      </c>
      <c r="AO50" s="117"/>
      <c r="AP50" s="117"/>
    </row>
    <row r="51" s="47" customFormat="true" ht="12.8" hidden="false" customHeight="false" outlineLevel="0" collapsed="false">
      <c r="A51" s="121" t="s">
        <v>241</v>
      </c>
      <c r="B51" s="121" t="s">
        <v>242</v>
      </c>
      <c r="C51" s="121"/>
      <c r="D51" s="121"/>
      <c r="E51" s="416"/>
      <c r="F51" s="416"/>
      <c r="G51" s="121"/>
      <c r="H51" s="121"/>
      <c r="I51" s="121"/>
      <c r="J51" s="121"/>
      <c r="K51" s="121"/>
      <c r="L51" s="191"/>
      <c r="M51" s="456"/>
      <c r="N51" s="456"/>
      <c r="P51" s="155"/>
      <c r="Q51" s="452"/>
      <c r="R51" s="155"/>
      <c r="S51" s="457"/>
      <c r="T51" s="460" t="s">
        <v>261</v>
      </c>
      <c r="U51" s="459"/>
      <c r="V51" s="459"/>
      <c r="W51" s="459"/>
      <c r="X51" s="459"/>
      <c r="Y51" s="459"/>
      <c r="Z51" s="459"/>
      <c r="AA51" s="459"/>
      <c r="AB51" s="459"/>
      <c r="AC51" s="459"/>
      <c r="AD51" s="459"/>
      <c r="AE51" s="459"/>
      <c r="AF51" s="459"/>
      <c r="AG51" s="459"/>
      <c r="AH51" s="459"/>
      <c r="AI51" s="459"/>
      <c r="AJ51" s="459"/>
      <c r="AK51" s="459"/>
      <c r="AM51" s="117"/>
      <c r="AN51" s="117" t="str">
        <f aca="false">IF(T51="","",T51)</f>
        <v>Добавить централизованную систему для дифференциации</v>
      </c>
      <c r="AO51" s="117"/>
      <c r="AP51" s="117"/>
    </row>
    <row r="52" s="47" customFormat="true" ht="12.8" hidden="false" customHeight="false" outlineLevel="0" collapsed="false">
      <c r="A52" s="121" t="s">
        <v>241</v>
      </c>
      <c r="B52" s="121"/>
      <c r="C52" s="121"/>
      <c r="D52" s="121"/>
      <c r="E52" s="416"/>
      <c r="F52" s="121"/>
      <c r="G52" s="121"/>
      <c r="H52" s="121"/>
      <c r="I52" s="121"/>
      <c r="J52" s="121"/>
      <c r="K52" s="121"/>
      <c r="L52" s="191"/>
      <c r="M52" s="456"/>
      <c r="N52" s="456"/>
      <c r="P52" s="155"/>
      <c r="Q52" s="452"/>
      <c r="R52" s="155"/>
      <c r="S52" s="457"/>
      <c r="T52" s="460" t="s">
        <v>268</v>
      </c>
      <c r="U52" s="459"/>
      <c r="V52" s="459"/>
      <c r="W52" s="459"/>
      <c r="X52" s="459"/>
      <c r="Y52" s="459"/>
      <c r="Z52" s="459"/>
      <c r="AA52" s="459"/>
      <c r="AB52" s="459"/>
      <c r="AC52" s="459"/>
      <c r="AD52" s="459"/>
      <c r="AE52" s="459"/>
      <c r="AF52" s="459"/>
      <c r="AG52" s="459"/>
      <c r="AH52" s="459"/>
      <c r="AI52" s="459"/>
      <c r="AJ52" s="459"/>
      <c r="AK52" s="459"/>
      <c r="AM52" s="117"/>
      <c r="AN52" s="117" t="str">
        <f aca="false">IF(T52="","",T52)</f>
        <v>Добавить территорию для дифференциации</v>
      </c>
      <c r="AO52" s="117"/>
      <c r="AP52" s="117"/>
    </row>
    <row r="53" s="47" customFormat="true" ht="12.8" hidden="false" customHeight="false" outlineLevel="0" collapsed="false">
      <c r="A53" s="121"/>
      <c r="B53" s="121"/>
      <c r="C53" s="121"/>
      <c r="D53" s="121"/>
      <c r="E53" s="121"/>
      <c r="F53" s="121"/>
      <c r="G53" s="121"/>
      <c r="H53" s="121"/>
      <c r="I53" s="121"/>
      <c r="J53" s="121"/>
      <c r="K53" s="121"/>
      <c r="L53" s="191"/>
      <c r="M53" s="456"/>
      <c r="N53" s="456"/>
      <c r="P53" s="155"/>
      <c r="Q53" s="452"/>
      <c r="R53" s="155"/>
      <c r="S53" s="457"/>
      <c r="T53" s="460" t="s">
        <v>269</v>
      </c>
      <c r="U53" s="459"/>
      <c r="V53" s="459"/>
      <c r="W53" s="459"/>
      <c r="X53" s="459"/>
      <c r="Y53" s="459"/>
      <c r="Z53" s="459"/>
      <c r="AA53" s="459"/>
      <c r="AB53" s="459"/>
      <c r="AC53" s="459"/>
      <c r="AD53" s="459"/>
      <c r="AE53" s="459"/>
      <c r="AF53" s="459"/>
      <c r="AG53" s="459"/>
      <c r="AH53" s="459"/>
      <c r="AI53" s="459"/>
      <c r="AJ53" s="459"/>
      <c r="AK53" s="459"/>
      <c r="AM53" s="117"/>
      <c r="AN53" s="117" t="str">
        <f aca="false">IF(T53="","",T53)</f>
        <v>Добавить наименование тарифа</v>
      </c>
      <c r="AO53" s="117"/>
      <c r="AP53" s="117"/>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2"/>
      <c r="T55" s="491"/>
      <c r="U55" s="491"/>
      <c r="V55" s="491"/>
      <c r="W55" s="491"/>
      <c r="X55" s="491"/>
      <c r="Y55" s="491"/>
      <c r="Z55" s="491"/>
      <c r="AA55" s="491"/>
      <c r="AB55" s="491"/>
      <c r="AC55" s="491"/>
      <c r="AD55" s="491"/>
      <c r="AE55" s="491"/>
      <c r="AF55" s="491"/>
      <c r="AG55" s="491"/>
      <c r="AH55" s="491"/>
      <c r="AI55" s="491"/>
      <c r="AJ55" s="491"/>
      <c r="AK55" s="491"/>
    </row>
    <row r="56" customFormat="false" ht="14.25" hidden="false" customHeight="true" outlineLevel="0" collapsed="false">
      <c r="O56" s="45"/>
    </row>
    <row r="57" customFormat="false" ht="14.25" hidden="false" customHeight="true" outlineLevel="0" collapsed="false">
      <c r="O57" s="45"/>
      <c r="S57" s="412"/>
      <c r="T57" s="491"/>
      <c r="U57" s="491"/>
      <c r="V57" s="491"/>
      <c r="W57" s="491"/>
      <c r="X57" s="491"/>
      <c r="Y57" s="491"/>
      <c r="Z57" s="491"/>
      <c r="AA57" s="491"/>
      <c r="AB57" s="491"/>
      <c r="AC57" s="491"/>
      <c r="AD57" s="491"/>
      <c r="AE57" s="491"/>
      <c r="AF57" s="491"/>
      <c r="AG57" s="491"/>
      <c r="AH57" s="491"/>
      <c r="AI57" s="491"/>
      <c r="AJ57" s="491"/>
      <c r="AK57" s="491"/>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71"/>
    <col collapsed="false" customWidth="true" hidden="false" outlineLevel="0" max="18" min="17" style="414" width="3.71"/>
    <col collapsed="false" customWidth="true" hidden="false" outlineLevel="0" max="19" min="19" style="75" width="12.71"/>
    <col collapsed="false" customWidth="true" hidden="false" outlineLevel="0" max="20" min="20" style="42" width="35.71"/>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7" width="10.57"/>
    <col collapsed="false" customWidth="true" hidden="false" outlineLevel="0" max="40" min="40" style="47" width="11.14"/>
    <col collapsed="false" customWidth="false" hidden="false" outlineLevel="0" max="42" min="41" style="47" width="10.57"/>
  </cols>
  <sheetData>
    <row r="1" customFormat="false" ht="14.25" hidden="true" customHeight="true" outlineLevel="0" collapsed="false"/>
    <row r="2" customFormat="false" ht="23.25" hidden="true" customHeight="true" outlineLevel="0" collapsed="false">
      <c r="A2" s="415"/>
      <c r="B2" s="415"/>
      <c r="C2" s="415"/>
      <c r="D2" s="415"/>
      <c r="E2" s="416" t="n">
        <v>1</v>
      </c>
      <c r="F2" s="415"/>
      <c r="G2" s="415"/>
      <c r="H2" s="415"/>
      <c r="I2" s="415"/>
      <c r="J2" s="415"/>
      <c r="K2" s="415"/>
      <c r="L2" s="417"/>
      <c r="M2" s="40"/>
      <c r="N2" s="40"/>
      <c r="O2" s="40"/>
      <c r="Q2" s="131"/>
      <c r="R2" s="418"/>
      <c r="S2" s="419" t="e">
        <f aca="false">INDEX(PT_DIFFERENTIATION_NUM_NTAR,MATCH(A2,PT_DIFFERENTIATION_NTAR_ID,0))</f>
        <v>#N/A</v>
      </c>
      <c r="T2" s="420" t="s">
        <v>130</v>
      </c>
      <c r="U2" s="421"/>
      <c r="V2" s="422"/>
      <c r="W2" s="422"/>
      <c r="X2" s="422"/>
      <c r="Y2" s="422"/>
      <c r="Z2" s="422"/>
      <c r="AA2" s="422"/>
      <c r="AB2" s="422"/>
      <c r="AC2" s="422" t="e">
        <f aca="false">INDEX(PT_DIFFERENTIATION_NTAR,MATCH(A2,PT_DIFFERENTIATION_NTAR_ID,0))</f>
        <v>#N/A</v>
      </c>
      <c r="AD2" s="422"/>
      <c r="AE2" s="422"/>
      <c r="AF2" s="422"/>
      <c r="AG2" s="422"/>
      <c r="AH2" s="422"/>
      <c r="AI2" s="422"/>
      <c r="AJ2" s="422"/>
      <c r="AK2" s="42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7"/>
      <c r="AN2" s="117" t="str">
        <f aca="false">IF(T2="","",T2)</f>
        <v>Наименование тарифа</v>
      </c>
      <c r="AO2" s="117"/>
      <c r="AP2" s="117"/>
    </row>
    <row r="3" customFormat="false" ht="23.25" hidden="true" customHeight="true" outlineLevel="0" collapsed="false">
      <c r="A3" s="415"/>
      <c r="B3" s="415"/>
      <c r="C3" s="415"/>
      <c r="D3" s="415"/>
      <c r="E3" s="416"/>
      <c r="F3" s="416" t="n">
        <v>1</v>
      </c>
      <c r="G3" s="415"/>
      <c r="H3" s="415"/>
      <c r="I3" s="415"/>
      <c r="J3" s="415"/>
      <c r="K3" s="415"/>
      <c r="L3" s="417"/>
      <c r="M3" s="40"/>
      <c r="N3" s="40"/>
      <c r="O3" s="40"/>
      <c r="P3" s="43"/>
      <c r="Q3" s="425"/>
      <c r="R3" s="426"/>
      <c r="S3" s="419" t="e">
        <f aca="false">INDEX(PT_DIFFERENTIATION_NUM_TER,MATCH(B3,PT_DIFFERENTIATION_TER_ID,0))</f>
        <v>#N/A</v>
      </c>
      <c r="T3" s="427" t="s">
        <v>413</v>
      </c>
      <c r="U3" s="421"/>
      <c r="V3" s="422"/>
      <c r="W3" s="422"/>
      <c r="X3" s="422"/>
      <c r="Y3" s="422"/>
      <c r="Z3" s="422"/>
      <c r="AA3" s="422"/>
      <c r="AB3" s="422"/>
      <c r="AC3" s="422" t="e">
        <f aca="false">INDEX(PT_DIFFERENTIATION_TER,MATCH(B3,PT_DIFFERENTIATION_TER_ID,0))</f>
        <v>#N/A</v>
      </c>
      <c r="AD3" s="422"/>
      <c r="AE3" s="422"/>
      <c r="AF3" s="422"/>
      <c r="AG3" s="422"/>
      <c r="AH3" s="422"/>
      <c r="AI3" s="422"/>
      <c r="AJ3" s="422"/>
      <c r="AK3" s="424" t="s">
        <v>414</v>
      </c>
      <c r="AM3" s="117"/>
      <c r="AN3" s="117" t="str">
        <f aca="false">IF(T3="","",T3)</f>
        <v>Территория действия тарифа</v>
      </c>
      <c r="AO3" s="117"/>
      <c r="AP3" s="117"/>
    </row>
    <row r="4" customFormat="false" ht="23.25" hidden="true" customHeight="true" outlineLevel="0" collapsed="false">
      <c r="A4" s="415"/>
      <c r="B4" s="415"/>
      <c r="C4" s="415"/>
      <c r="D4" s="415"/>
      <c r="E4" s="416"/>
      <c r="F4" s="416"/>
      <c r="G4" s="416" t="n">
        <v>1</v>
      </c>
      <c r="H4" s="415"/>
      <c r="I4" s="415"/>
      <c r="J4" s="415"/>
      <c r="K4" s="415"/>
      <c r="L4" s="417"/>
      <c r="M4" s="40"/>
      <c r="N4" s="40"/>
      <c r="O4" s="40"/>
      <c r="P4" s="428"/>
      <c r="Q4" s="425"/>
      <c r="R4" s="426"/>
      <c r="S4" s="419" t="e">
        <f aca="false">INDEX(PT_DIFFERENTIATION_NUM_CS,MATCH(C4,PT_DIFFERENTIATION_CS_ID,0))</f>
        <v>#N/A</v>
      </c>
      <c r="T4" s="429" t="s">
        <v>495</v>
      </c>
      <c r="U4" s="421"/>
      <c r="V4" s="422"/>
      <c r="W4" s="422"/>
      <c r="X4" s="422"/>
      <c r="Y4" s="422"/>
      <c r="Z4" s="422"/>
      <c r="AA4" s="422"/>
      <c r="AB4" s="422"/>
      <c r="AC4" s="422" t="e">
        <f aca="false">INDEX(PT_DIFFERENTIATION_CS,MATCH(C4,PT_DIFFERENTIATION_CS_ID,0))</f>
        <v>#N/A</v>
      </c>
      <c r="AD4" s="422"/>
      <c r="AE4" s="422"/>
      <c r="AF4" s="422"/>
      <c r="AG4" s="422"/>
      <c r="AH4" s="422"/>
      <c r="AI4" s="422"/>
      <c r="AJ4" s="422"/>
      <c r="AK4" s="424" t="s">
        <v>496</v>
      </c>
      <c r="AM4" s="117"/>
      <c r="AN4" s="117" t="str">
        <f aca="false">IF(T4="","",T4)</f>
        <v>Наименование централизованной системы холодного водоснабжения</v>
      </c>
      <c r="AO4" s="117"/>
      <c r="AP4" s="117"/>
    </row>
    <row r="5" customFormat="false" ht="23.25" hidden="true" customHeight="true" outlineLevel="0" collapsed="false">
      <c r="A5" s="415"/>
      <c r="B5" s="415"/>
      <c r="C5" s="415"/>
      <c r="D5" s="415"/>
      <c r="E5" s="416"/>
      <c r="F5" s="416"/>
      <c r="G5" s="416"/>
      <c r="H5" s="560"/>
      <c r="I5" s="431" t="e">
        <f aca="false">S4&amp;".1"</f>
        <v>#N/A</v>
      </c>
      <c r="J5" s="415"/>
      <c r="K5" s="415"/>
      <c r="L5" s="417"/>
      <c r="P5" s="120" t="n">
        <v>1</v>
      </c>
      <c r="Q5" s="120"/>
      <c r="R5" s="432"/>
      <c r="S5" s="419" t="e">
        <f aca="false">$I5</f>
        <v>#N/A</v>
      </c>
      <c r="T5" s="433" t="s">
        <v>497</v>
      </c>
      <c r="U5" s="421"/>
      <c r="V5" s="561"/>
      <c r="W5" s="561"/>
      <c r="X5" s="561"/>
      <c r="Y5" s="561"/>
      <c r="Z5" s="561"/>
      <c r="AA5" s="561"/>
      <c r="AB5" s="561"/>
      <c r="AC5" s="245"/>
      <c r="AD5" s="245"/>
      <c r="AE5" s="245"/>
      <c r="AF5" s="245"/>
      <c r="AG5" s="245"/>
      <c r="AH5" s="245"/>
      <c r="AI5" s="245"/>
      <c r="AJ5" s="245"/>
      <c r="AK5" s="424" t="s">
        <v>498</v>
      </c>
      <c r="AM5" s="117"/>
      <c r="AN5" s="117" t="str">
        <f aca="false">IF(T5="","",T5)</f>
        <v>Наименование признака дифференциации</v>
      </c>
      <c r="AO5" s="117"/>
      <c r="AP5" s="117"/>
    </row>
    <row r="6" customFormat="false" ht="23.25" hidden="true" customHeight="true" outlineLevel="0" collapsed="false">
      <c r="A6" s="415"/>
      <c r="B6" s="415"/>
      <c r="C6" s="415"/>
      <c r="D6" s="415"/>
      <c r="E6" s="416"/>
      <c r="F6" s="416"/>
      <c r="G6" s="416"/>
      <c r="H6" s="416"/>
      <c r="I6" s="431"/>
      <c r="J6" s="431" t="e">
        <f aca="false">I5&amp;".1"</f>
        <v>#N/A</v>
      </c>
      <c r="K6" s="415"/>
      <c r="L6" s="417" t="s">
        <v>422</v>
      </c>
      <c r="P6" s="120"/>
      <c r="Q6" s="120" t="n">
        <v>1</v>
      </c>
      <c r="R6" s="435"/>
      <c r="S6" s="419" t="e">
        <f aca="false">$J6</f>
        <v>#N/A</v>
      </c>
      <c r="T6" s="436" t="s">
        <v>423</v>
      </c>
      <c r="U6" s="421"/>
      <c r="V6" s="434"/>
      <c r="W6" s="434"/>
      <c r="X6" s="434"/>
      <c r="Y6" s="434"/>
      <c r="Z6" s="434"/>
      <c r="AA6" s="434"/>
      <c r="AB6" s="434"/>
      <c r="AC6" s="434"/>
      <c r="AD6" s="434"/>
      <c r="AE6" s="434"/>
      <c r="AF6" s="434"/>
      <c r="AG6" s="434"/>
      <c r="AH6" s="434"/>
      <c r="AI6" s="434"/>
      <c r="AJ6" s="434"/>
      <c r="AK6" s="514" t="s">
        <v>499</v>
      </c>
      <c r="AM6" s="117"/>
      <c r="AN6" s="117" t="str">
        <f aca="false">IF(T6="","",T6)</f>
        <v>Группа потребителей</v>
      </c>
      <c r="AO6" s="117"/>
      <c r="AP6" s="117"/>
    </row>
    <row r="7" customFormat="false" ht="23.25" hidden="true" customHeight="true" outlineLevel="0" collapsed="false">
      <c r="A7" s="415"/>
      <c r="B7" s="415"/>
      <c r="C7" s="415"/>
      <c r="D7" s="415"/>
      <c r="E7" s="416"/>
      <c r="F7" s="416"/>
      <c r="G7" s="416"/>
      <c r="H7" s="416"/>
      <c r="I7" s="431"/>
      <c r="J7" s="431"/>
      <c r="K7" s="431" t="e">
        <f aca="false">J6&amp;".1"</f>
        <v>#N/A</v>
      </c>
      <c r="L7" s="417"/>
      <c r="P7" s="120"/>
      <c r="Q7" s="120"/>
      <c r="R7" s="435" t="n">
        <v>1</v>
      </c>
      <c r="S7" s="419" t="e">
        <f aca="false">$K7</f>
        <v>#N/A</v>
      </c>
      <c r="T7" s="562"/>
      <c r="U7" s="421"/>
      <c r="V7" s="438"/>
      <c r="W7" s="438"/>
      <c r="X7" s="440"/>
      <c r="Y7" s="441"/>
      <c r="Z7" s="203" t="s">
        <v>63</v>
      </c>
      <c r="AA7" s="441"/>
      <c r="AB7" s="203" t="s">
        <v>63</v>
      </c>
      <c r="AC7" s="438"/>
      <c r="AD7" s="438"/>
      <c r="AE7" s="440"/>
      <c r="AF7" s="441"/>
      <c r="AG7" s="203" t="s">
        <v>63</v>
      </c>
      <c r="AH7" s="441"/>
      <c r="AI7" s="203" t="s">
        <v>63</v>
      </c>
      <c r="AJ7" s="563"/>
      <c r="AK7" s="56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7"/>
      <c r="AN7" s="117" t="str">
        <f aca="false">IF(T7="","",T7)</f>
        <v/>
      </c>
      <c r="AO7" s="117"/>
      <c r="AP7" s="117"/>
    </row>
    <row r="8" customFormat="false" ht="14.25" hidden="true" customHeight="true" outlineLevel="0" collapsed="false">
      <c r="A8" s="415"/>
      <c r="B8" s="415"/>
      <c r="C8" s="415"/>
      <c r="D8" s="415"/>
      <c r="E8" s="416"/>
      <c r="F8" s="416"/>
      <c r="G8" s="416"/>
      <c r="H8" s="416"/>
      <c r="I8" s="431"/>
      <c r="J8" s="431"/>
      <c r="K8" s="431"/>
      <c r="L8" s="417"/>
      <c r="P8" s="120"/>
      <c r="Q8" s="120"/>
      <c r="R8" s="435"/>
      <c r="S8" s="396"/>
      <c r="T8" s="421"/>
      <c r="U8" s="421"/>
      <c r="V8" s="439"/>
      <c r="W8" s="439"/>
      <c r="X8" s="443" t="str">
        <f aca="false">Y7&amp;"-"&amp;AA7</f>
        <v>-</v>
      </c>
      <c r="Y8" s="441"/>
      <c r="Z8" s="203"/>
      <c r="AA8" s="441"/>
      <c r="AB8" s="203"/>
      <c r="AC8" s="439"/>
      <c r="AD8" s="439"/>
      <c r="AE8" s="443" t="str">
        <f aca="false">AF7&amp;"-"&amp;AH7</f>
        <v>-</v>
      </c>
      <c r="AF8" s="441"/>
      <c r="AG8" s="203"/>
      <c r="AH8" s="441"/>
      <c r="AI8" s="203"/>
      <c r="AJ8" s="565"/>
      <c r="AK8" s="564"/>
      <c r="AM8" s="117"/>
      <c r="AN8" s="117" t="str">
        <f aca="false">IF(T8="","",T8)</f>
        <v/>
      </c>
      <c r="AO8" s="117"/>
      <c r="AP8" s="117"/>
    </row>
    <row r="9" customFormat="false" ht="21" hidden="true" customHeight="true" outlineLevel="0" collapsed="false">
      <c r="A9" s="415"/>
      <c r="B9" s="415"/>
      <c r="C9" s="415"/>
      <c r="D9" s="415"/>
      <c r="E9" s="416"/>
      <c r="F9" s="416"/>
      <c r="G9" s="416"/>
      <c r="H9" s="416"/>
      <c r="I9" s="431"/>
      <c r="J9" s="431"/>
      <c r="K9" s="415"/>
      <c r="L9" s="417"/>
      <c r="P9" s="120"/>
      <c r="Q9" s="120"/>
      <c r="R9" s="432"/>
      <c r="S9" s="444"/>
      <c r="T9" s="447" t="s">
        <v>500</v>
      </c>
      <c r="U9" s="193"/>
      <c r="V9" s="193"/>
      <c r="W9" s="193"/>
      <c r="X9" s="193"/>
      <c r="Y9" s="193"/>
      <c r="Z9" s="193"/>
      <c r="AA9" s="193"/>
      <c r="AB9" s="193"/>
      <c r="AC9" s="193"/>
      <c r="AD9" s="193"/>
      <c r="AE9" s="193"/>
      <c r="AF9" s="193"/>
      <c r="AG9" s="193"/>
      <c r="AH9" s="193"/>
      <c r="AI9" s="193"/>
      <c r="AJ9" s="193"/>
      <c r="AK9" s="424" t="s">
        <v>501</v>
      </c>
      <c r="AM9" s="117"/>
      <c r="AN9" s="117" t="str">
        <f aca="false">IF(T9="","",T9)</f>
        <v>Добавить значение признака дифференциации</v>
      </c>
      <c r="AO9" s="117"/>
      <c r="AP9" s="117"/>
    </row>
    <row r="10" customFormat="false" ht="21" hidden="true" customHeight="true" outlineLevel="0" collapsed="false">
      <c r="A10" s="415"/>
      <c r="B10" s="415"/>
      <c r="C10" s="415"/>
      <c r="D10" s="415"/>
      <c r="E10" s="416"/>
      <c r="F10" s="416"/>
      <c r="G10" s="416"/>
      <c r="H10" s="416"/>
      <c r="I10" s="431"/>
      <c r="J10" s="415"/>
      <c r="K10" s="415"/>
      <c r="L10" s="417"/>
      <c r="P10" s="120"/>
      <c r="Q10" s="120"/>
      <c r="R10" s="432"/>
      <c r="S10" s="444"/>
      <c r="T10" s="451" t="s">
        <v>428</v>
      </c>
      <c r="U10" s="193"/>
      <c r="V10" s="193"/>
      <c r="W10" s="193"/>
      <c r="X10" s="193"/>
      <c r="Y10" s="193"/>
      <c r="Z10" s="193"/>
      <c r="AA10" s="193"/>
      <c r="AB10" s="448"/>
      <c r="AC10" s="193"/>
      <c r="AD10" s="193"/>
      <c r="AE10" s="193"/>
      <c r="AF10" s="193"/>
      <c r="AG10" s="193"/>
      <c r="AH10" s="193"/>
      <c r="AI10" s="448"/>
      <c r="AJ10" s="193"/>
      <c r="AK10" s="566"/>
      <c r="AM10" s="117"/>
      <c r="AN10" s="117" t="str">
        <f aca="false">IF(T10="","",T10)</f>
        <v>Добавить группу потребителей</v>
      </c>
      <c r="AO10" s="117"/>
      <c r="AP10" s="117"/>
    </row>
    <row r="11" customFormat="false" ht="21" hidden="true" customHeight="true" outlineLevel="0" collapsed="false">
      <c r="A11" s="415"/>
      <c r="B11" s="415"/>
      <c r="C11" s="415"/>
      <c r="D11" s="415"/>
      <c r="E11" s="416"/>
      <c r="F11" s="416"/>
      <c r="G11" s="416"/>
      <c r="H11" s="560"/>
      <c r="I11" s="415"/>
      <c r="J11" s="415"/>
      <c r="K11" s="415"/>
      <c r="L11" s="417"/>
      <c r="M11" s="40"/>
      <c r="N11" s="40"/>
      <c r="O11" s="45"/>
      <c r="P11" s="131"/>
      <c r="Q11" s="450"/>
      <c r="R11" s="418"/>
      <c r="S11" s="444"/>
      <c r="T11" s="567" t="s">
        <v>502</v>
      </c>
      <c r="U11" s="193"/>
      <c r="V11" s="193"/>
      <c r="W11" s="193"/>
      <c r="X11" s="193"/>
      <c r="Y11" s="193"/>
      <c r="Z11" s="193"/>
      <c r="AA11" s="193"/>
      <c r="AB11" s="448"/>
      <c r="AC11" s="193"/>
      <c r="AD11" s="193"/>
      <c r="AE11" s="193"/>
      <c r="AF11" s="193"/>
      <c r="AG11" s="193"/>
      <c r="AH11" s="193"/>
      <c r="AI11" s="448"/>
      <c r="AJ11" s="193"/>
      <c r="AK11" s="449"/>
      <c r="AM11" s="117"/>
      <c r="AN11" s="117" t="str">
        <f aca="false">IF(T11="","",T11)</f>
        <v>Добавить наименование признака дифференциации</v>
      </c>
      <c r="AO11" s="117"/>
      <c r="AP11" s="117"/>
    </row>
    <row r="12" s="47" customFormat="true" ht="14.25" hidden="true" customHeight="true" outlineLevel="0" collapsed="false">
      <c r="A12" s="121"/>
      <c r="B12" s="121"/>
      <c r="C12" s="121"/>
      <c r="D12" s="121"/>
      <c r="E12" s="416"/>
      <c r="F12" s="416"/>
      <c r="G12" s="121"/>
      <c r="H12" s="121"/>
      <c r="I12" s="121"/>
      <c r="J12" s="121"/>
      <c r="K12" s="121"/>
      <c r="L12" s="191"/>
      <c r="M12" s="456"/>
      <c r="N12" s="456"/>
      <c r="P12" s="155"/>
      <c r="Q12" s="452"/>
      <c r="R12" s="155"/>
      <c r="S12" s="457"/>
      <c r="T12" s="460" t="s">
        <v>261</v>
      </c>
      <c r="U12" s="459"/>
      <c r="V12" s="459"/>
      <c r="W12" s="459"/>
      <c r="X12" s="459"/>
      <c r="Y12" s="459"/>
      <c r="Z12" s="459"/>
      <c r="AA12" s="459"/>
      <c r="AB12" s="459"/>
      <c r="AC12" s="459"/>
      <c r="AD12" s="459"/>
      <c r="AE12" s="459"/>
      <c r="AF12" s="459"/>
      <c r="AG12" s="459"/>
      <c r="AH12" s="459"/>
      <c r="AI12" s="459"/>
      <c r="AJ12" s="459"/>
      <c r="AK12" s="459"/>
      <c r="AM12" s="117"/>
      <c r="AN12" s="117" t="str">
        <f aca="false">IF(T12="","",T12)</f>
        <v>Добавить централизованную систему для дифференциации</v>
      </c>
      <c r="AO12" s="117"/>
      <c r="AP12" s="117"/>
    </row>
    <row r="13" s="47" customFormat="true" ht="14.25" hidden="true" customHeight="true" outlineLevel="0" collapsed="false">
      <c r="A13" s="121"/>
      <c r="B13" s="121"/>
      <c r="C13" s="121"/>
      <c r="D13" s="121"/>
      <c r="E13" s="416"/>
      <c r="F13" s="121"/>
      <c r="G13" s="121"/>
      <c r="H13" s="121"/>
      <c r="I13" s="121"/>
      <c r="J13" s="121"/>
      <c r="K13" s="121"/>
      <c r="L13" s="191"/>
      <c r="M13" s="456"/>
      <c r="N13" s="456"/>
      <c r="P13" s="155"/>
      <c r="Q13" s="452"/>
      <c r="R13" s="155"/>
      <c r="S13" s="457"/>
      <c r="T13" s="460" t="s">
        <v>268</v>
      </c>
      <c r="U13" s="459"/>
      <c r="V13" s="459"/>
      <c r="W13" s="459"/>
      <c r="X13" s="459"/>
      <c r="Y13" s="459"/>
      <c r="Z13" s="459"/>
      <c r="AA13" s="459"/>
      <c r="AB13" s="459"/>
      <c r="AC13" s="459"/>
      <c r="AD13" s="459"/>
      <c r="AE13" s="459"/>
      <c r="AF13" s="459"/>
      <c r="AG13" s="459"/>
      <c r="AH13" s="459"/>
      <c r="AI13" s="459"/>
      <c r="AJ13" s="459"/>
      <c r="AK13" s="459"/>
      <c r="AM13" s="117"/>
      <c r="AN13" s="117" t="str">
        <f aca="false">IF(T13="","",T13)</f>
        <v>Добавить территорию для дифференциации</v>
      </c>
      <c r="AO13" s="117"/>
      <c r="AP13" s="117"/>
    </row>
    <row r="14" customFormat="false" ht="14.25" hidden="true" customHeight="true" outlineLevel="0" collapsed="false"/>
    <row r="15" customFormat="false" ht="14.25" hidden="true" customHeight="true" outlineLevel="0" collapsed="false">
      <c r="AC15" s="461"/>
      <c r="AD15" s="461"/>
      <c r="AE15" s="462"/>
      <c r="AF15" s="463"/>
      <c r="AG15" s="464" t="s">
        <v>63</v>
      </c>
      <c r="AH15" s="463"/>
      <c r="AI15" s="464" t="s">
        <v>63</v>
      </c>
    </row>
    <row r="16" customFormat="false" ht="14.25" hidden="true" customHeight="true" outlineLevel="0" collapsed="false">
      <c r="AC16" s="461"/>
      <c r="AD16" s="461"/>
      <c r="AE16" s="443" t="str">
        <f aca="false">AF15&amp;"-"&amp;AH15</f>
        <v>-</v>
      </c>
      <c r="AF16" s="463"/>
      <c r="AG16" s="463"/>
      <c r="AH16" s="463"/>
      <c r="AI16" s="463"/>
    </row>
    <row r="17" customFormat="false" ht="14.25" hidden="true" customHeight="true" outlineLevel="0" collapsed="false"/>
    <row r="18" s="45" customFormat="true" ht="22.5" hidden="true" customHeight="true" outlineLevel="0" collapsed="false">
      <c r="L18" s="44"/>
      <c r="M18" s="51"/>
      <c r="N18" s="51"/>
      <c r="O18" s="465" t="s">
        <v>431</v>
      </c>
      <c r="P18" s="51"/>
      <c r="Q18" s="466"/>
      <c r="R18" s="466"/>
      <c r="S18" s="40"/>
      <c r="Y18" s="465"/>
      <c r="AA18" s="465"/>
      <c r="AF18" s="465"/>
      <c r="AH18" s="465"/>
      <c r="AL18" s="47"/>
      <c r="AM18" s="47"/>
      <c r="AN18" s="47"/>
      <c r="AO18" s="47"/>
      <c r="AP18" s="47"/>
    </row>
    <row r="19" s="45" customFormat="true" ht="14.25" hidden="true" customHeight="true" outlineLevel="0" collapsed="false">
      <c r="L19" s="44"/>
      <c r="M19" s="51"/>
      <c r="N19" s="51"/>
      <c r="O19" s="51"/>
      <c r="P19" s="51"/>
      <c r="Q19" s="466"/>
      <c r="R19" s="466"/>
      <c r="S19" s="40"/>
      <c r="AL19" s="47"/>
      <c r="AM19" s="47"/>
      <c r="AN19" s="47"/>
      <c r="AO19" s="47"/>
      <c r="AP19" s="47"/>
    </row>
    <row r="20" s="45" customFormat="true" ht="12" hidden="true" customHeight="true" outlineLevel="0" collapsed="false">
      <c r="L20" s="44"/>
      <c r="M20" s="51"/>
      <c r="N20" s="51"/>
      <c r="O20" s="417" t="s">
        <v>432</v>
      </c>
      <c r="P20" s="51"/>
      <c r="Q20" s="568"/>
      <c r="R20" s="568"/>
      <c r="S20" s="40"/>
      <c r="T20" s="45" t="s">
        <v>433</v>
      </c>
      <c r="Z20" s="139" t="s">
        <v>434</v>
      </c>
      <c r="AB20" s="139" t="s">
        <v>435</v>
      </c>
      <c r="AC20" s="45" t="s">
        <v>433</v>
      </c>
      <c r="AG20" s="139" t="s">
        <v>436</v>
      </c>
      <c r="AI20" s="139" t="s">
        <v>435</v>
      </c>
    </row>
    <row r="21" customFormat="false" ht="14.25" hidden="true" customHeight="true" outlineLevel="0" collapsed="false">
      <c r="O21" s="417"/>
    </row>
    <row r="22" customFormat="false" ht="14.25" hidden="true" customHeight="true" outlineLevel="0" collapsed="false">
      <c r="O22" s="417"/>
    </row>
    <row r="23" customFormat="false" ht="14.25" hidden="false" customHeight="true" outlineLevel="0" collapsed="false">
      <c r="Q23" s="467"/>
      <c r="R23" s="467"/>
      <c r="S23" s="468"/>
      <c r="T23" s="79"/>
      <c r="U23" s="79"/>
    </row>
    <row r="24" customFormat="false" ht="14.25" hidden="false" customHeight="true" outlineLevel="0" collapsed="false">
      <c r="Q24" s="467"/>
      <c r="R24" s="467"/>
      <c r="S24" s="212"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
      <c r="U24" s="212"/>
      <c r="V24" s="212"/>
      <c r="W24" s="212"/>
      <c r="X24" s="212"/>
      <c r="Y24" s="212"/>
      <c r="Z24" s="212"/>
      <c r="AA24" s="212"/>
      <c r="AB24" s="212"/>
      <c r="AC24" s="212"/>
      <c r="AD24" s="212"/>
      <c r="AE24" s="212"/>
      <c r="AF24" s="212"/>
      <c r="AG24" s="212"/>
      <c r="AH24" s="212"/>
      <c r="AI24" s="214"/>
    </row>
    <row r="25" customFormat="false" ht="14.25" hidden="false" customHeight="true" outlineLevel="0" collapsed="false">
      <c r="Q25" s="467"/>
      <c r="R25" s="467"/>
      <c r="S25" s="265" t="str">
        <f aca="false">IF(org=0,"Не определено",org)</f>
        <v>ООО "Газпром теплоэнерго Ярославль"</v>
      </c>
      <c r="T25" s="265"/>
      <c r="U25" s="265"/>
      <c r="V25" s="265"/>
      <c r="W25" s="265"/>
      <c r="X25" s="265"/>
      <c r="Y25" s="265"/>
      <c r="Z25" s="265"/>
      <c r="AA25" s="265"/>
      <c r="AB25" s="265"/>
      <c r="AC25" s="265"/>
      <c r="AD25" s="265"/>
      <c r="AE25" s="265"/>
      <c r="AF25" s="265"/>
      <c r="AG25" s="265"/>
      <c r="AH25" s="265"/>
      <c r="AI25" s="214"/>
    </row>
    <row r="26" customFormat="false" ht="14.25" hidden="false" customHeight="true" outlineLevel="0" collapsed="false">
      <c r="Q26" s="467"/>
      <c r="R26" s="467"/>
      <c r="S26" s="468"/>
      <c r="T26" s="79"/>
      <c r="U26" s="79"/>
      <c r="V26" s="469"/>
      <c r="W26" s="469"/>
      <c r="X26" s="469"/>
      <c r="Y26" s="469"/>
      <c r="Z26" s="469"/>
      <c r="AA26" s="469"/>
      <c r="AB26" s="469"/>
      <c r="AC26" s="469"/>
      <c r="AD26" s="469"/>
      <c r="AE26" s="469"/>
      <c r="AF26" s="469"/>
      <c r="AG26" s="469"/>
      <c r="AH26" s="469"/>
      <c r="AI26" s="469"/>
    </row>
    <row r="27" s="174" customFormat="true" ht="25.5" hidden="false" customHeight="true" outlineLevel="0" collapsed="false">
      <c r="A27" s="139"/>
      <c r="B27" s="139"/>
      <c r="C27" s="139"/>
      <c r="D27" s="139"/>
      <c r="E27" s="139"/>
      <c r="F27" s="139"/>
      <c r="G27" s="139"/>
      <c r="H27" s="139"/>
      <c r="I27" s="139"/>
      <c r="J27" s="139"/>
      <c r="K27" s="139"/>
      <c r="L27" s="417"/>
      <c r="M27" s="139"/>
      <c r="N27" s="139"/>
      <c r="O27" s="139"/>
      <c r="S27" s="470" t="s">
        <v>37</v>
      </c>
      <c r="T27" s="470"/>
      <c r="U27" s="471"/>
      <c r="V27" s="472" t="str">
        <f aca="false">IF(TITLE_NAME_OR_PR_CHANGE="",IF(TITLE_NAME_OR_PR="","",TITLE_NAME_OR_PR),TITLE_NAME_OR_PR_CHANGE)</f>
        <v>Министерство тарифного регулирования Ярославской области</v>
      </c>
      <c r="W27" s="472"/>
      <c r="X27" s="472"/>
      <c r="Y27" s="472"/>
      <c r="Z27" s="472"/>
      <c r="AA27" s="472"/>
      <c r="AB27" s="42"/>
      <c r="AC27" s="472" t="str">
        <f aca="false">IF(TITLE_NAME_OR_PR_CHANGE="",IF(TITLE_NAME_OR_PR="","",TITLE_NAME_OR_PR),TITLE_NAME_OR_PR_CHANGE)</f>
        <v>Министерство тарифного регулирования Ярославской области</v>
      </c>
      <c r="AD27" s="472"/>
      <c r="AE27" s="472"/>
      <c r="AF27" s="472"/>
      <c r="AG27" s="472"/>
      <c r="AH27" s="472"/>
      <c r="AI27" s="42"/>
      <c r="AJ27" s="42"/>
      <c r="AK27" s="473"/>
      <c r="AL27" s="117"/>
      <c r="AM27" s="117"/>
      <c r="AN27" s="117"/>
      <c r="AO27" s="117"/>
      <c r="AP27" s="117"/>
    </row>
    <row r="28" s="174" customFormat="true" ht="18.75" hidden="false" customHeight="true" outlineLevel="0" collapsed="false">
      <c r="A28" s="139"/>
      <c r="B28" s="139"/>
      <c r="C28" s="139"/>
      <c r="D28" s="139"/>
      <c r="E28" s="139"/>
      <c r="F28" s="139"/>
      <c r="G28" s="139"/>
      <c r="H28" s="139"/>
      <c r="I28" s="139"/>
      <c r="J28" s="139"/>
      <c r="K28" s="139"/>
      <c r="L28" s="417"/>
      <c r="M28" s="139"/>
      <c r="N28" s="139"/>
      <c r="O28" s="139"/>
      <c r="S28" s="470" t="s">
        <v>437</v>
      </c>
      <c r="T28" s="470"/>
      <c r="U28" s="471"/>
      <c r="V28" s="474" t="str">
        <f aca="false">IF(TITLE_DATE_PR_CHANGE="",IF(TITLE_DATE_PR="","",TITLE_DATE_PR),TITLE_DATE_PR_CHANGE)</f>
        <v>45279.46460648148</v>
      </c>
      <c r="W28" s="474"/>
      <c r="X28" s="474"/>
      <c r="Y28" s="474"/>
      <c r="Z28" s="474"/>
      <c r="AA28" s="474"/>
      <c r="AB28" s="42"/>
      <c r="AC28" s="474" t="str">
        <f aca="false">IF(TITLE_DATE_PR_CHANGE="",IF(TITLE_DATE_PR="","",TITLE_DATE_PR),TITLE_DATE_PR_CHANGE)</f>
        <v>45279.46460648148</v>
      </c>
      <c r="AD28" s="474"/>
      <c r="AE28" s="474"/>
      <c r="AF28" s="474"/>
      <c r="AG28" s="474"/>
      <c r="AH28" s="474"/>
      <c r="AI28" s="42"/>
      <c r="AJ28" s="42"/>
      <c r="AK28" s="473"/>
      <c r="AL28" s="117"/>
      <c r="AM28" s="117"/>
      <c r="AN28" s="117"/>
      <c r="AO28" s="117"/>
      <c r="AP28" s="117"/>
    </row>
    <row r="29" s="174" customFormat="true" ht="18.75" hidden="false" customHeight="true" outlineLevel="0" collapsed="false">
      <c r="A29" s="139"/>
      <c r="B29" s="139"/>
      <c r="C29" s="139"/>
      <c r="D29" s="139"/>
      <c r="E29" s="139"/>
      <c r="F29" s="139"/>
      <c r="G29" s="139"/>
      <c r="H29" s="139"/>
      <c r="I29" s="139"/>
      <c r="J29" s="139"/>
      <c r="K29" s="139"/>
      <c r="L29" s="417"/>
      <c r="M29" s="139"/>
      <c r="N29" s="139"/>
      <c r="O29" s="139"/>
      <c r="S29" s="470" t="s">
        <v>438</v>
      </c>
      <c r="T29" s="470"/>
      <c r="U29" s="471"/>
      <c r="V29" s="472" t="str">
        <f aca="false">IF(TITLE_NUMBER_PR_CHANGE="",IF(TITLE_NUMBER_PR="","",TITLE_NUMBER_PR),TITLE_NUMBER_PR_CHANGE)</f>
        <v>403-гвс, 404-гвс, 406-гвс</v>
      </c>
      <c r="W29" s="472"/>
      <c r="X29" s="472"/>
      <c r="Y29" s="472"/>
      <c r="Z29" s="472"/>
      <c r="AA29" s="472"/>
      <c r="AB29" s="42"/>
      <c r="AC29" s="472" t="str">
        <f aca="false">IF(TITLE_NUMBER_PR_CHANGE="",IF(TITLE_NUMBER_PR="","",TITLE_NUMBER_PR),TITLE_NUMBER_PR_CHANGE)</f>
        <v>403-гвс, 404-гвс, 406-гвс</v>
      </c>
      <c r="AD29" s="472"/>
      <c r="AE29" s="472"/>
      <c r="AF29" s="472"/>
      <c r="AG29" s="472"/>
      <c r="AH29" s="472"/>
      <c r="AI29" s="42"/>
      <c r="AJ29" s="42"/>
      <c r="AK29" s="473"/>
      <c r="AL29" s="117"/>
      <c r="AM29" s="117"/>
      <c r="AN29" s="117"/>
      <c r="AO29" s="117"/>
      <c r="AP29" s="117"/>
    </row>
    <row r="30" s="174" customFormat="true" ht="18.75" hidden="false" customHeight="true" outlineLevel="0" collapsed="false">
      <c r="A30" s="139"/>
      <c r="B30" s="139"/>
      <c r="C30" s="139"/>
      <c r="D30" s="139"/>
      <c r="E30" s="139"/>
      <c r="F30" s="139"/>
      <c r="G30" s="139"/>
      <c r="H30" s="139"/>
      <c r="I30" s="139"/>
      <c r="J30" s="139"/>
      <c r="K30" s="139"/>
      <c r="L30" s="417"/>
      <c r="M30" s="139"/>
      <c r="N30" s="139"/>
      <c r="O30" s="139"/>
      <c r="S30" s="470" t="s">
        <v>39</v>
      </c>
      <c r="T30" s="470"/>
      <c r="U30" s="471"/>
      <c r="V30" s="472" t="str">
        <f aca="false">IF(TITLE_IST_PUB_CHANGE="",IF(TITLE_IST_PUB="","",TITLE_IST_PUB),TITLE_IST_PUB_CHANGE)</f>
        <v>официальный интернет- портал правовой информации www.pravo.gov.ru</v>
      </c>
      <c r="W30" s="472"/>
      <c r="X30" s="472"/>
      <c r="Y30" s="472"/>
      <c r="Z30" s="472"/>
      <c r="AA30" s="472"/>
      <c r="AB30" s="42"/>
      <c r="AC30" s="472" t="str">
        <f aca="false">IF(TITLE_IST_PUB_CHANGE="",IF(TITLE_IST_PUB="","",TITLE_IST_PUB),TITLE_IST_PUB_CHANGE)</f>
        <v>официальный интернет- портал правовой информации www.pravo.gov.ru</v>
      </c>
      <c r="AD30" s="472"/>
      <c r="AE30" s="472"/>
      <c r="AF30" s="472"/>
      <c r="AG30" s="472"/>
      <c r="AH30" s="472"/>
      <c r="AI30" s="42"/>
      <c r="AJ30" s="42"/>
      <c r="AK30" s="473"/>
      <c r="AL30" s="117"/>
      <c r="AM30" s="117"/>
      <c r="AN30" s="117"/>
      <c r="AO30" s="117"/>
      <c r="AP30" s="117"/>
    </row>
    <row r="31" customFormat="false" ht="14.25" hidden="true" customHeight="true" outlineLevel="0" collapsed="false">
      <c r="Q31" s="467"/>
      <c r="R31" s="467"/>
      <c r="S31" s="468"/>
      <c r="T31" s="79"/>
      <c r="U31" s="79"/>
      <c r="V31" s="469"/>
      <c r="W31" s="469"/>
      <c r="X31" s="469"/>
      <c r="Y31" s="469"/>
      <c r="Z31" s="469"/>
      <c r="AA31" s="469"/>
      <c r="AB31" s="469"/>
      <c r="AC31" s="469"/>
      <c r="AD31" s="469"/>
      <c r="AE31" s="469"/>
      <c r="AF31" s="469"/>
      <c r="AG31" s="469"/>
      <c r="AH31" s="469"/>
      <c r="AI31" s="469"/>
    </row>
    <row r="32" s="174" customFormat="true" ht="18.75" hidden="true" customHeight="true" outlineLevel="0" collapsed="false">
      <c r="A32" s="139"/>
      <c r="B32" s="139"/>
      <c r="C32" s="139"/>
      <c r="D32" s="139"/>
      <c r="E32" s="139"/>
      <c r="F32" s="139"/>
      <c r="G32" s="139"/>
      <c r="H32" s="139"/>
      <c r="I32" s="139"/>
      <c r="J32" s="139"/>
      <c r="K32" s="139"/>
      <c r="L32" s="417"/>
      <c r="M32" s="139"/>
      <c r="N32" s="139"/>
      <c r="O32" s="139"/>
      <c r="S32" s="470" t="s">
        <v>439</v>
      </c>
      <c r="T32" s="470"/>
      <c r="U32" s="471"/>
      <c r="V32" s="474" t="str">
        <f aca="false">IF(TITLE_DATE_PR_CHANGE="",IF(TITLE_DATE_PR="","",TITLE_DATE_PR),TITLE_DATE_PR_CHANGE)</f>
        <v>45279.46460648148</v>
      </c>
      <c r="W32" s="474"/>
      <c r="X32" s="474"/>
      <c r="Y32" s="474"/>
      <c r="Z32" s="474"/>
      <c r="AA32" s="474"/>
      <c r="AB32" s="42"/>
      <c r="AC32" s="474" t="str">
        <f aca="false">IF(TITLE_DATE_PR_CHANGE="",IF(TITLE_DATE_PR="","",TITLE_DATE_PR),TITLE_DATE_PR_CHANGE)</f>
        <v>45279.46460648148</v>
      </c>
      <c r="AD32" s="474"/>
      <c r="AE32" s="474"/>
      <c r="AF32" s="474"/>
      <c r="AG32" s="474"/>
      <c r="AH32" s="474"/>
      <c r="AI32" s="42"/>
      <c r="AJ32" s="42"/>
      <c r="AK32" s="473"/>
      <c r="AL32" s="117"/>
      <c r="AM32" s="117"/>
      <c r="AN32" s="117"/>
      <c r="AO32" s="117"/>
      <c r="AP32" s="117"/>
    </row>
    <row r="33" s="174" customFormat="true" ht="18.75" hidden="true" customHeight="true" outlineLevel="0" collapsed="false">
      <c r="A33" s="139"/>
      <c r="B33" s="139"/>
      <c r="C33" s="139"/>
      <c r="D33" s="139"/>
      <c r="E33" s="139"/>
      <c r="F33" s="139"/>
      <c r="G33" s="139"/>
      <c r="H33" s="139"/>
      <c r="I33" s="139"/>
      <c r="J33" s="139"/>
      <c r="K33" s="139"/>
      <c r="L33" s="417"/>
      <c r="M33" s="139"/>
      <c r="N33" s="139"/>
      <c r="O33" s="139"/>
      <c r="S33" s="470" t="s">
        <v>440</v>
      </c>
      <c r="T33" s="470"/>
      <c r="U33" s="471"/>
      <c r="V33" s="472" t="str">
        <f aca="false">IF(TITLE_NUMBER_PR_CHANGE="",IF(TITLE_NUMBER_PR="","",TITLE_NUMBER_PR),TITLE_NUMBER_PR_CHANGE)</f>
        <v>403-гвс, 404-гвс, 406-гвс</v>
      </c>
      <c r="W33" s="472"/>
      <c r="X33" s="472"/>
      <c r="Y33" s="472"/>
      <c r="Z33" s="472"/>
      <c r="AA33" s="472"/>
      <c r="AB33" s="42"/>
      <c r="AC33" s="472" t="str">
        <f aca="false">IF(TITLE_NUMBER_PR_CHANGE="",IF(TITLE_NUMBER_PR="","",TITLE_NUMBER_PR),TITLE_NUMBER_PR_CHANGE)</f>
        <v>403-гвс, 404-гвс, 406-гвс</v>
      </c>
      <c r="AD33" s="472"/>
      <c r="AE33" s="472"/>
      <c r="AF33" s="472"/>
      <c r="AG33" s="472"/>
      <c r="AH33" s="472"/>
      <c r="AI33" s="42"/>
      <c r="AJ33" s="42"/>
      <c r="AK33" s="473"/>
      <c r="AL33" s="117"/>
      <c r="AM33" s="117"/>
      <c r="AN33" s="117"/>
      <c r="AO33" s="117"/>
      <c r="AP33" s="117"/>
    </row>
    <row r="34" s="174" customFormat="true" ht="0.75" hidden="false" customHeight="true" outlineLevel="0" collapsed="false">
      <c r="A34" s="139"/>
      <c r="B34" s="139"/>
      <c r="C34" s="139"/>
      <c r="D34" s="139"/>
      <c r="E34" s="139"/>
      <c r="F34" s="139"/>
      <c r="G34" s="139"/>
      <c r="H34" s="139"/>
      <c r="I34" s="139"/>
      <c r="J34" s="139"/>
      <c r="K34" s="139"/>
      <c r="L34" s="417"/>
      <c r="M34" s="139"/>
      <c r="N34" s="139"/>
      <c r="O34" s="139"/>
      <c r="S34" s="42"/>
      <c r="T34" s="42"/>
      <c r="U34" s="127"/>
      <c r="V34" s="42"/>
      <c r="W34" s="42"/>
      <c r="X34" s="42"/>
      <c r="Y34" s="42"/>
      <c r="Z34" s="42"/>
      <c r="AA34" s="42"/>
      <c r="AB34" s="47" t="s">
        <v>441</v>
      </c>
      <c r="AC34" s="42"/>
      <c r="AD34" s="42"/>
      <c r="AE34" s="42"/>
      <c r="AF34" s="42"/>
      <c r="AG34" s="42"/>
      <c r="AH34" s="42"/>
      <c r="AI34" s="47" t="s">
        <v>441</v>
      </c>
      <c r="AL34" s="117"/>
      <c r="AM34" s="117"/>
      <c r="AN34" s="117"/>
      <c r="AO34" s="117"/>
      <c r="AP34" s="117"/>
    </row>
    <row r="35" customFormat="false" ht="14.25" hidden="false" customHeight="true" outlineLevel="0" collapsed="false">
      <c r="Q35" s="467"/>
      <c r="R35" s="467"/>
      <c r="S35" s="468"/>
      <c r="T35" s="79"/>
      <c r="U35" s="475"/>
      <c r="V35" s="476"/>
      <c r="W35" s="476"/>
      <c r="X35" s="476"/>
      <c r="Y35" s="476"/>
      <c r="Z35" s="476"/>
      <c r="AA35" s="476"/>
      <c r="AB35" s="476"/>
      <c r="AC35" s="476"/>
      <c r="AD35" s="476"/>
      <c r="AE35" s="476"/>
      <c r="AF35" s="476"/>
      <c r="AG35" s="476"/>
      <c r="AH35" s="476"/>
      <c r="AI35" s="476"/>
    </row>
    <row r="36" customFormat="false" ht="14.25" hidden="false" customHeight="true" outlineLevel="0" collapsed="false">
      <c r="Q36" s="467"/>
      <c r="R36" s="467"/>
      <c r="S36" s="133" t="s">
        <v>316</v>
      </c>
      <c r="T36" s="133"/>
      <c r="U36" s="133"/>
      <c r="V36" s="133"/>
      <c r="W36" s="133"/>
      <c r="X36" s="133"/>
      <c r="Y36" s="133"/>
      <c r="Z36" s="133"/>
      <c r="AA36" s="133"/>
      <c r="AB36" s="133"/>
      <c r="AC36" s="133"/>
      <c r="AD36" s="133"/>
      <c r="AE36" s="133"/>
      <c r="AF36" s="133"/>
      <c r="AG36" s="133"/>
      <c r="AH36" s="133"/>
      <c r="AI36" s="133"/>
      <c r="AJ36" s="133"/>
      <c r="AK36" s="133" t="s">
        <v>317</v>
      </c>
    </row>
    <row r="37" customFormat="false" ht="14.25" hidden="false" customHeight="true" outlineLevel="0" collapsed="false">
      <c r="Q37" s="467"/>
      <c r="R37" s="467"/>
      <c r="S37" s="477" t="s">
        <v>84</v>
      </c>
      <c r="T37" s="394" t="s">
        <v>442</v>
      </c>
      <c r="U37" s="478"/>
      <c r="V37" s="300" t="s">
        <v>443</v>
      </c>
      <c r="W37" s="300"/>
      <c r="X37" s="300"/>
      <c r="Y37" s="300"/>
      <c r="Z37" s="300"/>
      <c r="AA37" s="300"/>
      <c r="AB37" s="394" t="s">
        <v>444</v>
      </c>
      <c r="AC37" s="300" t="s">
        <v>443</v>
      </c>
      <c r="AD37" s="300"/>
      <c r="AE37" s="300"/>
      <c r="AF37" s="300"/>
      <c r="AG37" s="300"/>
      <c r="AH37" s="300"/>
      <c r="AI37" s="394" t="s">
        <v>445</v>
      </c>
      <c r="AJ37" s="479" t="s">
        <v>446</v>
      </c>
      <c r="AK37" s="133"/>
    </row>
    <row r="38" customFormat="false" ht="33.75" hidden="false" customHeight="true" outlineLevel="0" collapsed="false">
      <c r="Q38" s="467"/>
      <c r="R38" s="467"/>
      <c r="S38" s="477"/>
      <c r="T38" s="394"/>
      <c r="U38" s="480"/>
      <c r="V38" s="266" t="s">
        <v>503</v>
      </c>
      <c r="W38" s="133" t="s">
        <v>449</v>
      </c>
      <c r="X38" s="133"/>
      <c r="Y38" s="133" t="s">
        <v>450</v>
      </c>
      <c r="Z38" s="133"/>
      <c r="AA38" s="133"/>
      <c r="AB38" s="394"/>
      <c r="AC38" s="266" t="s">
        <v>503</v>
      </c>
      <c r="AD38" s="133" t="s">
        <v>449</v>
      </c>
      <c r="AE38" s="133"/>
      <c r="AF38" s="133" t="s">
        <v>450</v>
      </c>
      <c r="AG38" s="133"/>
      <c r="AH38" s="133"/>
      <c r="AI38" s="394"/>
      <c r="AJ38" s="479"/>
      <c r="AK38" s="133"/>
    </row>
    <row r="39" customFormat="false" ht="33.75" hidden="false" customHeight="true" outlineLevel="0" collapsed="false">
      <c r="A39" s="139"/>
      <c r="B39" s="139" t="s">
        <v>142</v>
      </c>
      <c r="C39" s="139" t="s">
        <v>143</v>
      </c>
      <c r="D39" s="139" t="s">
        <v>144</v>
      </c>
      <c r="E39" s="417" t="s">
        <v>451</v>
      </c>
      <c r="F39" s="417" t="s">
        <v>452</v>
      </c>
      <c r="G39" s="417" t="s">
        <v>453</v>
      </c>
      <c r="H39" s="417"/>
      <c r="I39" s="417" t="s">
        <v>504</v>
      </c>
      <c r="J39" s="417" t="s">
        <v>456</v>
      </c>
      <c r="K39" s="417" t="s">
        <v>505</v>
      </c>
      <c r="L39" s="417" t="s">
        <v>432</v>
      </c>
      <c r="Q39" s="467"/>
      <c r="R39" s="467"/>
      <c r="S39" s="477"/>
      <c r="T39" s="394"/>
      <c r="U39" s="481"/>
      <c r="V39" s="266" t="s">
        <v>506</v>
      </c>
      <c r="W39" s="184" t="s">
        <v>507</v>
      </c>
      <c r="X39" s="184" t="s">
        <v>508</v>
      </c>
      <c r="Y39" s="184" t="s">
        <v>460</v>
      </c>
      <c r="Z39" s="184" t="s">
        <v>461</v>
      </c>
      <c r="AA39" s="184"/>
      <c r="AB39" s="394"/>
      <c r="AC39" s="266" t="s">
        <v>506</v>
      </c>
      <c r="AD39" s="184" t="s">
        <v>507</v>
      </c>
      <c r="AE39" s="184" t="s">
        <v>508</v>
      </c>
      <c r="AF39" s="184" t="s">
        <v>460</v>
      </c>
      <c r="AG39" s="184" t="s">
        <v>461</v>
      </c>
      <c r="AH39" s="184"/>
      <c r="AI39" s="394"/>
      <c r="AJ39" s="479"/>
      <c r="AK39" s="133"/>
    </row>
    <row r="40" s="119" customFormat="true" ht="12.8" hidden="false" customHeight="false" outlineLevel="0" collapsed="false">
      <c r="A40" s="139"/>
      <c r="B40" s="139"/>
      <c r="C40" s="139"/>
      <c r="D40" s="139"/>
      <c r="E40" s="139"/>
      <c r="F40" s="139"/>
      <c r="G40" s="139"/>
      <c r="H40" s="139"/>
      <c r="I40" s="139"/>
      <c r="J40" s="139"/>
      <c r="K40" s="139"/>
      <c r="L40" s="417"/>
      <c r="M40" s="51"/>
      <c r="N40" s="51"/>
      <c r="O40" s="51"/>
      <c r="P40" s="482"/>
      <c r="Q40" s="483"/>
      <c r="R40" s="484" t="n">
        <v>1</v>
      </c>
      <c r="S40" s="485" t="s">
        <v>117</v>
      </c>
      <c r="T40" s="486" t="s">
        <v>99</v>
      </c>
      <c r="U40" s="487" t="str">
        <f aca="true">OFFSET(U40,0,-1)</f>
        <v>2</v>
      </c>
      <c r="V40" s="488" t="n">
        <f aca="true">OFFSET(V40,0,-1)+1</f>
        <v>3</v>
      </c>
      <c r="W40" s="488" t="n">
        <f aca="true">OFFSET(W40,0,-1)+1</f>
        <v>4</v>
      </c>
      <c r="X40" s="488" t="n">
        <f aca="true">OFFSET(X40,0,-1)+1</f>
        <v>5</v>
      </c>
      <c r="Y40" s="488" t="n">
        <f aca="true">OFFSET(Y40,0,-1)+1</f>
        <v>6</v>
      </c>
      <c r="Z40" s="488" t="n">
        <f aca="true">OFFSET(Z40,0,-1)+1</f>
        <v>7</v>
      </c>
      <c r="AA40" s="488"/>
      <c r="AB40" s="488" t="n">
        <f aca="true">OFFSET(AB40,0,-2)+1</f>
        <v>8</v>
      </c>
      <c r="AC40" s="488" t="n">
        <f aca="true">OFFSET(AC40,0,-1)+1</f>
        <v>9</v>
      </c>
      <c r="AD40" s="488" t="n">
        <f aca="true">OFFSET(AD40,0,-1)+1</f>
        <v>10</v>
      </c>
      <c r="AE40" s="488" t="n">
        <f aca="true">OFFSET(AE40,0,-1)+1</f>
        <v>11</v>
      </c>
      <c r="AF40" s="488" t="n">
        <f aca="true">OFFSET(AF40,0,-1)+1</f>
        <v>12</v>
      </c>
      <c r="AG40" s="488" t="n">
        <f aca="true">OFFSET(AG40,0,-1)+1</f>
        <v>13</v>
      </c>
      <c r="AH40" s="488"/>
      <c r="AI40" s="488" t="n">
        <f aca="true">OFFSET(AI40,0,-2)+1</f>
        <v>14</v>
      </c>
      <c r="AJ40" s="487" t="n">
        <f aca="true">OFFSET(AJ40,0,-1)</f>
        <v>14</v>
      </c>
      <c r="AK40" s="488" t="n">
        <f aca="true">OFFSET(AK40,0,-1)+1</f>
        <v>15</v>
      </c>
      <c r="AL40" s="47"/>
      <c r="AM40" s="47"/>
      <c r="AN40" s="47"/>
      <c r="AO40" s="47"/>
      <c r="AP40" s="47"/>
    </row>
    <row r="41" customFormat="false" ht="23.25" hidden="false" customHeight="true" outlineLevel="0" collapsed="false">
      <c r="A41" s="415" t="s">
        <v>246</v>
      </c>
      <c r="B41" s="415"/>
      <c r="C41" s="415"/>
      <c r="D41" s="415"/>
      <c r="E41" s="416" t="n">
        <v>1</v>
      </c>
      <c r="F41" s="415"/>
      <c r="G41" s="415"/>
      <c r="H41" s="415"/>
      <c r="I41" s="415"/>
      <c r="J41" s="415"/>
      <c r="K41" s="415"/>
      <c r="L41" s="417"/>
      <c r="M41" s="40"/>
      <c r="N41" s="40"/>
      <c r="O41" s="40"/>
      <c r="Q41" s="131"/>
      <c r="R41" s="418"/>
      <c r="S41" s="419" t="n">
        <f aca="false">INDEX(PT_DIFFERENTIATION_NUM_NTAR,MATCH(A41,PT_DIFFERENTIATION_NTAR_ID,0))</f>
        <v>0</v>
      </c>
      <c r="T41" s="420" t="s">
        <v>130</v>
      </c>
      <c r="U41" s="421"/>
      <c r="V41" s="422"/>
      <c r="W41" s="422"/>
      <c r="X41" s="422"/>
      <c r="Y41" s="422"/>
      <c r="Z41" s="422"/>
      <c r="AA41" s="422"/>
      <c r="AB41" s="422"/>
      <c r="AC41" s="422" t="str">
        <f aca="false">INDEX(PT_DIFFERENTIATION_NTAR,MATCH(A41,PT_DIFFERENTIATION_NTAR_ID,0))</f>
        <v/>
      </c>
      <c r="AD41" s="422"/>
      <c r="AE41" s="422"/>
      <c r="AF41" s="422"/>
      <c r="AG41" s="422"/>
      <c r="AH41" s="422"/>
      <c r="AI41" s="422"/>
      <c r="AJ41" s="422"/>
      <c r="AK41" s="42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7"/>
      <c r="AN41" s="117" t="str">
        <f aca="false">IF(T41="","",T41)</f>
        <v>Наименование тарифа</v>
      </c>
      <c r="AO41" s="117"/>
      <c r="AP41" s="117"/>
    </row>
    <row r="42" customFormat="false" ht="23.25" hidden="false" customHeight="true" outlineLevel="0" collapsed="false">
      <c r="A42" s="415" t="s">
        <v>246</v>
      </c>
      <c r="B42" s="415" t="s">
        <v>247</v>
      </c>
      <c r="C42" s="415"/>
      <c r="D42" s="415"/>
      <c r="E42" s="416"/>
      <c r="F42" s="416" t="n">
        <v>1</v>
      </c>
      <c r="G42" s="415"/>
      <c r="H42" s="415"/>
      <c r="I42" s="415"/>
      <c r="J42" s="415"/>
      <c r="K42" s="415"/>
      <c r="L42" s="417"/>
      <c r="M42" s="40"/>
      <c r="N42" s="40"/>
      <c r="O42" s="40"/>
      <c r="P42" s="43"/>
      <c r="Q42" s="425"/>
      <c r="R42" s="426"/>
      <c r="S42" s="419" t="str">
        <f aca="false">INDEX(PT_DIFFERENTIATION_NUM_TER,MATCH(B42,PT_DIFFERENTIATION_TER_ID,0))</f>
        <v>.</v>
      </c>
      <c r="T42" s="427" t="s">
        <v>413</v>
      </c>
      <c r="U42" s="421"/>
      <c r="V42" s="422"/>
      <c r="W42" s="422"/>
      <c r="X42" s="422"/>
      <c r="Y42" s="422"/>
      <c r="Z42" s="422"/>
      <c r="AA42" s="422"/>
      <c r="AB42" s="422"/>
      <c r="AC42" s="422" t="str">
        <f aca="false">INDEX(PT_DIFFERENTIATION_TER,MATCH(B42,PT_DIFFERENTIATION_TER_ID,0))</f>
        <v/>
      </c>
      <c r="AD42" s="422"/>
      <c r="AE42" s="422"/>
      <c r="AF42" s="422"/>
      <c r="AG42" s="422"/>
      <c r="AH42" s="422"/>
      <c r="AI42" s="422"/>
      <c r="AJ42" s="422"/>
      <c r="AK42" s="424" t="s">
        <v>414</v>
      </c>
      <c r="AM42" s="117"/>
      <c r="AN42" s="117" t="str">
        <f aca="false">IF(T42="","",T42)</f>
        <v>Территория действия тарифа</v>
      </c>
      <c r="AO42" s="117"/>
      <c r="AP42" s="117"/>
    </row>
    <row r="43" customFormat="false" ht="23.25" hidden="false" customHeight="true" outlineLevel="0" collapsed="false">
      <c r="A43" s="415" t="s">
        <v>246</v>
      </c>
      <c r="B43" s="415" t="s">
        <v>247</v>
      </c>
      <c r="C43" s="415" t="s">
        <v>248</v>
      </c>
      <c r="D43" s="415"/>
      <c r="E43" s="416"/>
      <c r="F43" s="416"/>
      <c r="G43" s="416" t="n">
        <v>1</v>
      </c>
      <c r="H43" s="415"/>
      <c r="I43" s="415"/>
      <c r="J43" s="415"/>
      <c r="K43" s="415"/>
      <c r="L43" s="417"/>
      <c r="M43" s="40"/>
      <c r="N43" s="40"/>
      <c r="O43" s="40"/>
      <c r="P43" s="428"/>
      <c r="Q43" s="425"/>
      <c r="R43" s="426"/>
      <c r="S43" s="419" t="str">
        <f aca="false">INDEX(PT_DIFFERENTIATION_NUM_CS,MATCH(C43,PT_DIFFERENTIATION_CS_ID,0))</f>
        <v>..</v>
      </c>
      <c r="T43" s="429" t="s">
        <v>495</v>
      </c>
      <c r="U43" s="421"/>
      <c r="V43" s="422"/>
      <c r="W43" s="422"/>
      <c r="X43" s="422"/>
      <c r="Y43" s="422"/>
      <c r="Z43" s="422"/>
      <c r="AA43" s="422"/>
      <c r="AB43" s="422"/>
      <c r="AC43" s="422" t="str">
        <f aca="false">INDEX(PT_DIFFERENTIATION_CS,MATCH(C43,PT_DIFFERENTIATION_CS_ID,0))</f>
        <v/>
      </c>
      <c r="AD43" s="422"/>
      <c r="AE43" s="422"/>
      <c r="AF43" s="422"/>
      <c r="AG43" s="422"/>
      <c r="AH43" s="422"/>
      <c r="AI43" s="422"/>
      <c r="AJ43" s="422"/>
      <c r="AK43" s="424" t="s">
        <v>496</v>
      </c>
      <c r="AM43" s="117"/>
      <c r="AN43" s="117" t="str">
        <f aca="false">IF(T43="","",T43)</f>
        <v>Наименование централизованной системы холодного водоснабжения</v>
      </c>
      <c r="AO43" s="117"/>
      <c r="AP43" s="117"/>
    </row>
    <row r="44" customFormat="false" ht="23.25" hidden="false" customHeight="true" outlineLevel="0" collapsed="false">
      <c r="A44" s="415" t="s">
        <v>246</v>
      </c>
      <c r="B44" s="415" t="s">
        <v>247</v>
      </c>
      <c r="C44" s="415" t="s">
        <v>248</v>
      </c>
      <c r="D44" s="415" t="s">
        <v>512</v>
      </c>
      <c r="E44" s="416"/>
      <c r="F44" s="416"/>
      <c r="G44" s="416"/>
      <c r="H44" s="560"/>
      <c r="I44" s="431" t="str">
        <f aca="false">S43&amp;".1"</f>
        <v>...1</v>
      </c>
      <c r="J44" s="415"/>
      <c r="K44" s="415"/>
      <c r="L44" s="417"/>
      <c r="P44" s="120" t="n">
        <v>1</v>
      </c>
      <c r="Q44" s="120"/>
      <c r="R44" s="432"/>
      <c r="S44" s="419" t="str">
        <f aca="false">$I44</f>
        <v>...1</v>
      </c>
      <c r="T44" s="433" t="s">
        <v>497</v>
      </c>
      <c r="U44" s="421"/>
      <c r="V44" s="561"/>
      <c r="W44" s="561"/>
      <c r="X44" s="561"/>
      <c r="Y44" s="561"/>
      <c r="Z44" s="561"/>
      <c r="AA44" s="561"/>
      <c r="AB44" s="561"/>
      <c r="AC44" s="245"/>
      <c r="AD44" s="245"/>
      <c r="AE44" s="245"/>
      <c r="AF44" s="245"/>
      <c r="AG44" s="245"/>
      <c r="AH44" s="245"/>
      <c r="AI44" s="245"/>
      <c r="AJ44" s="245"/>
      <c r="AK44" s="424" t="s">
        <v>498</v>
      </c>
      <c r="AM44" s="117"/>
      <c r="AN44" s="117" t="str">
        <f aca="false">IF(T44="","",T44)</f>
        <v>Наименование признака дифференциации</v>
      </c>
      <c r="AO44" s="117"/>
      <c r="AP44" s="117"/>
    </row>
    <row r="45" customFormat="false" ht="23.25" hidden="false" customHeight="true" outlineLevel="0" collapsed="false">
      <c r="A45" s="415" t="s">
        <v>246</v>
      </c>
      <c r="B45" s="415" t="s">
        <v>247</v>
      </c>
      <c r="C45" s="415" t="s">
        <v>248</v>
      </c>
      <c r="D45" s="415" t="s">
        <v>512</v>
      </c>
      <c r="E45" s="416"/>
      <c r="F45" s="416"/>
      <c r="G45" s="416"/>
      <c r="H45" s="416"/>
      <c r="I45" s="431"/>
      <c r="J45" s="431" t="str">
        <f aca="false">I44&amp;".1"</f>
        <v>...1.1</v>
      </c>
      <c r="K45" s="415"/>
      <c r="L45" s="417" t="s">
        <v>422</v>
      </c>
      <c r="P45" s="120"/>
      <c r="Q45" s="120" t="n">
        <v>1</v>
      </c>
      <c r="R45" s="435"/>
      <c r="S45" s="419" t="str">
        <f aca="false">$J45</f>
        <v>...1.1</v>
      </c>
      <c r="T45" s="436" t="s">
        <v>423</v>
      </c>
      <c r="U45" s="421"/>
      <c r="V45" s="434"/>
      <c r="W45" s="434"/>
      <c r="X45" s="434"/>
      <c r="Y45" s="434"/>
      <c r="Z45" s="434"/>
      <c r="AA45" s="434"/>
      <c r="AB45" s="434"/>
      <c r="AC45" s="434"/>
      <c r="AD45" s="434"/>
      <c r="AE45" s="434"/>
      <c r="AF45" s="434"/>
      <c r="AG45" s="434"/>
      <c r="AH45" s="434"/>
      <c r="AI45" s="434"/>
      <c r="AJ45" s="434"/>
      <c r="AK45" s="514" t="s">
        <v>499</v>
      </c>
      <c r="AM45" s="117"/>
      <c r="AN45" s="117" t="str">
        <f aca="false">IF(T45="","",T45)</f>
        <v>Группа потребителей</v>
      </c>
      <c r="AO45" s="117"/>
      <c r="AP45" s="117"/>
    </row>
    <row r="46" customFormat="false" ht="23.25" hidden="false" customHeight="true" outlineLevel="0" collapsed="false">
      <c r="A46" s="415" t="s">
        <v>246</v>
      </c>
      <c r="B46" s="415" t="s">
        <v>247</v>
      </c>
      <c r="C46" s="415" t="s">
        <v>248</v>
      </c>
      <c r="D46" s="415" t="s">
        <v>512</v>
      </c>
      <c r="E46" s="416"/>
      <c r="F46" s="416"/>
      <c r="G46" s="416"/>
      <c r="H46" s="416"/>
      <c r="I46" s="431"/>
      <c r="J46" s="431"/>
      <c r="K46" s="431" t="str">
        <f aca="false">J45&amp;".1"</f>
        <v>...1.1.1</v>
      </c>
      <c r="L46" s="417"/>
      <c r="P46" s="120"/>
      <c r="Q46" s="120"/>
      <c r="R46" s="435" t="n">
        <v>1</v>
      </c>
      <c r="S46" s="419" t="str">
        <f aca="false">$K46</f>
        <v>...1.1.1</v>
      </c>
      <c r="T46" s="562"/>
      <c r="U46" s="421"/>
      <c r="V46" s="438"/>
      <c r="W46" s="438"/>
      <c r="X46" s="440"/>
      <c r="Y46" s="441"/>
      <c r="Z46" s="203" t="s">
        <v>63</v>
      </c>
      <c r="AA46" s="441"/>
      <c r="AB46" s="203" t="s">
        <v>63</v>
      </c>
      <c r="AC46" s="438"/>
      <c r="AD46" s="438"/>
      <c r="AE46" s="440"/>
      <c r="AF46" s="441"/>
      <c r="AG46" s="203" t="s">
        <v>63</v>
      </c>
      <c r="AH46" s="441"/>
      <c r="AI46" s="203" t="s">
        <v>63</v>
      </c>
      <c r="AJ46" s="563"/>
      <c r="AK46" s="56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7"/>
      <c r="AN46" s="117" t="str">
        <f aca="false">IF(T46="","",T46)</f>
        <v/>
      </c>
      <c r="AO46" s="117"/>
      <c r="AP46" s="117"/>
    </row>
    <row r="47" customFormat="false" ht="12.8" hidden="false" customHeight="false" outlineLevel="0" collapsed="false">
      <c r="A47" s="415" t="s">
        <v>246</v>
      </c>
      <c r="B47" s="415" t="s">
        <v>247</v>
      </c>
      <c r="C47" s="415" t="s">
        <v>248</v>
      </c>
      <c r="D47" s="415" t="s">
        <v>512</v>
      </c>
      <c r="E47" s="416"/>
      <c r="F47" s="416"/>
      <c r="G47" s="416"/>
      <c r="H47" s="416"/>
      <c r="I47" s="431"/>
      <c r="J47" s="431"/>
      <c r="K47" s="431"/>
      <c r="L47" s="417"/>
      <c r="P47" s="120"/>
      <c r="Q47" s="120"/>
      <c r="R47" s="435"/>
      <c r="S47" s="396"/>
      <c r="T47" s="421"/>
      <c r="U47" s="421"/>
      <c r="V47" s="439"/>
      <c r="W47" s="439"/>
      <c r="X47" s="443" t="str">
        <f aca="false">Y46&amp;"-"&amp;AA46</f>
        <v>-</v>
      </c>
      <c r="Y47" s="441"/>
      <c r="Z47" s="203"/>
      <c r="AA47" s="441"/>
      <c r="AB47" s="203"/>
      <c r="AC47" s="439"/>
      <c r="AD47" s="439"/>
      <c r="AE47" s="443" t="str">
        <f aca="false">AF46&amp;"-"&amp;AH46</f>
        <v>-</v>
      </c>
      <c r="AF47" s="441"/>
      <c r="AG47" s="203"/>
      <c r="AH47" s="441"/>
      <c r="AI47" s="203"/>
      <c r="AJ47" s="565"/>
      <c r="AK47" s="564"/>
      <c r="AM47" s="117"/>
      <c r="AN47" s="117" t="str">
        <f aca="false">IF(T47="","",T47)</f>
        <v/>
      </c>
      <c r="AO47" s="117"/>
      <c r="AP47" s="117"/>
    </row>
    <row r="48" customFormat="false" ht="21" hidden="false" customHeight="true" outlineLevel="0" collapsed="false">
      <c r="A48" s="415" t="s">
        <v>246</v>
      </c>
      <c r="B48" s="415" t="s">
        <v>247</v>
      </c>
      <c r="C48" s="415" t="s">
        <v>248</v>
      </c>
      <c r="D48" s="415" t="s">
        <v>512</v>
      </c>
      <c r="E48" s="416"/>
      <c r="F48" s="416"/>
      <c r="G48" s="416"/>
      <c r="H48" s="416"/>
      <c r="I48" s="431"/>
      <c r="J48" s="431"/>
      <c r="K48" s="415"/>
      <c r="L48" s="417"/>
      <c r="P48" s="120"/>
      <c r="Q48" s="120"/>
      <c r="R48" s="432"/>
      <c r="S48" s="444"/>
      <c r="T48" s="447" t="s">
        <v>500</v>
      </c>
      <c r="U48" s="193"/>
      <c r="V48" s="193"/>
      <c r="W48" s="193"/>
      <c r="X48" s="193"/>
      <c r="Y48" s="193"/>
      <c r="Z48" s="193"/>
      <c r="AA48" s="193"/>
      <c r="AB48" s="193"/>
      <c r="AC48" s="193"/>
      <c r="AD48" s="193"/>
      <c r="AE48" s="193"/>
      <c r="AF48" s="193"/>
      <c r="AG48" s="193"/>
      <c r="AH48" s="193"/>
      <c r="AI48" s="193"/>
      <c r="AJ48" s="193"/>
      <c r="AK48" s="424" t="s">
        <v>501</v>
      </c>
      <c r="AM48" s="117"/>
      <c r="AN48" s="117" t="str">
        <f aca="false">IF(T48="","",T48)</f>
        <v>Добавить значение признака дифференциации</v>
      </c>
      <c r="AO48" s="117"/>
      <c r="AP48" s="117"/>
    </row>
    <row r="49" customFormat="false" ht="21" hidden="false" customHeight="true" outlineLevel="0" collapsed="false">
      <c r="A49" s="415" t="s">
        <v>246</v>
      </c>
      <c r="B49" s="415" t="s">
        <v>247</v>
      </c>
      <c r="C49" s="415" t="s">
        <v>248</v>
      </c>
      <c r="D49" s="415" t="s">
        <v>512</v>
      </c>
      <c r="E49" s="416"/>
      <c r="F49" s="416"/>
      <c r="G49" s="416"/>
      <c r="H49" s="416"/>
      <c r="I49" s="431"/>
      <c r="J49" s="415"/>
      <c r="K49" s="415"/>
      <c r="L49" s="417"/>
      <c r="P49" s="120"/>
      <c r="Q49" s="120"/>
      <c r="R49" s="432"/>
      <c r="S49" s="444"/>
      <c r="T49" s="451" t="s">
        <v>428</v>
      </c>
      <c r="U49" s="193"/>
      <c r="V49" s="193"/>
      <c r="W49" s="193"/>
      <c r="X49" s="193"/>
      <c r="Y49" s="193"/>
      <c r="Z49" s="193"/>
      <c r="AA49" s="193"/>
      <c r="AB49" s="448"/>
      <c r="AC49" s="193"/>
      <c r="AD49" s="193"/>
      <c r="AE49" s="193"/>
      <c r="AF49" s="193"/>
      <c r="AG49" s="193"/>
      <c r="AH49" s="193"/>
      <c r="AI49" s="448"/>
      <c r="AJ49" s="193"/>
      <c r="AK49" s="566"/>
      <c r="AM49" s="117"/>
      <c r="AN49" s="117" t="str">
        <f aca="false">IF(T49="","",T49)</f>
        <v>Добавить группу потребителей</v>
      </c>
      <c r="AO49" s="117"/>
      <c r="AP49" s="117"/>
    </row>
    <row r="50" customFormat="false" ht="21" hidden="false" customHeight="true" outlineLevel="0" collapsed="false">
      <c r="A50" s="415" t="s">
        <v>246</v>
      </c>
      <c r="B50" s="415" t="s">
        <v>247</v>
      </c>
      <c r="C50" s="415" t="s">
        <v>248</v>
      </c>
      <c r="D50" s="415" t="s">
        <v>512</v>
      </c>
      <c r="E50" s="416"/>
      <c r="F50" s="416"/>
      <c r="G50" s="416"/>
      <c r="H50" s="560"/>
      <c r="I50" s="415"/>
      <c r="J50" s="415"/>
      <c r="K50" s="415"/>
      <c r="L50" s="417"/>
      <c r="M50" s="40"/>
      <c r="N50" s="40"/>
      <c r="O50" s="45"/>
      <c r="P50" s="131"/>
      <c r="Q50" s="450"/>
      <c r="R50" s="418"/>
      <c r="S50" s="444"/>
      <c r="T50" s="567" t="s">
        <v>502</v>
      </c>
      <c r="U50" s="193"/>
      <c r="V50" s="193"/>
      <c r="W50" s="193"/>
      <c r="X50" s="193"/>
      <c r="Y50" s="193"/>
      <c r="Z50" s="193"/>
      <c r="AA50" s="193"/>
      <c r="AB50" s="448"/>
      <c r="AC50" s="193"/>
      <c r="AD50" s="193"/>
      <c r="AE50" s="193"/>
      <c r="AF50" s="193"/>
      <c r="AG50" s="193"/>
      <c r="AH50" s="193"/>
      <c r="AI50" s="448"/>
      <c r="AJ50" s="193"/>
      <c r="AK50" s="449"/>
      <c r="AM50" s="117"/>
      <c r="AN50" s="117" t="str">
        <f aca="false">IF(T50="","",T50)</f>
        <v>Добавить наименование признака дифференциации</v>
      </c>
      <c r="AO50" s="117"/>
      <c r="AP50" s="117"/>
    </row>
    <row r="51" s="47" customFormat="true" ht="12.8" hidden="false" customHeight="false" outlineLevel="0" collapsed="false">
      <c r="A51" s="121" t="s">
        <v>246</v>
      </c>
      <c r="B51" s="121" t="s">
        <v>247</v>
      </c>
      <c r="C51" s="121"/>
      <c r="D51" s="121"/>
      <c r="E51" s="416"/>
      <c r="F51" s="416"/>
      <c r="G51" s="121"/>
      <c r="H51" s="121"/>
      <c r="I51" s="121"/>
      <c r="J51" s="121"/>
      <c r="K51" s="121"/>
      <c r="L51" s="191"/>
      <c r="M51" s="456"/>
      <c r="N51" s="456"/>
      <c r="P51" s="155"/>
      <c r="Q51" s="452"/>
      <c r="R51" s="155"/>
      <c r="S51" s="457"/>
      <c r="T51" s="460" t="s">
        <v>261</v>
      </c>
      <c r="U51" s="459"/>
      <c r="V51" s="459"/>
      <c r="W51" s="459"/>
      <c r="X51" s="459"/>
      <c r="Y51" s="459"/>
      <c r="Z51" s="459"/>
      <c r="AA51" s="459"/>
      <c r="AB51" s="459"/>
      <c r="AC51" s="459"/>
      <c r="AD51" s="459"/>
      <c r="AE51" s="459"/>
      <c r="AF51" s="459"/>
      <c r="AG51" s="459"/>
      <c r="AH51" s="459"/>
      <c r="AI51" s="459"/>
      <c r="AJ51" s="459"/>
      <c r="AK51" s="459"/>
      <c r="AM51" s="117"/>
      <c r="AN51" s="117" t="str">
        <f aca="false">IF(T51="","",T51)</f>
        <v>Добавить централизованную систему для дифференциации</v>
      </c>
      <c r="AO51" s="117"/>
      <c r="AP51" s="117"/>
    </row>
    <row r="52" s="47" customFormat="true" ht="12.8" hidden="false" customHeight="false" outlineLevel="0" collapsed="false">
      <c r="A52" s="121" t="s">
        <v>246</v>
      </c>
      <c r="B52" s="121"/>
      <c r="C52" s="121"/>
      <c r="D52" s="121"/>
      <c r="E52" s="416"/>
      <c r="F52" s="121"/>
      <c r="G52" s="121"/>
      <c r="H52" s="121"/>
      <c r="I52" s="121"/>
      <c r="J52" s="121"/>
      <c r="K52" s="121"/>
      <c r="L52" s="191"/>
      <c r="M52" s="456"/>
      <c r="N52" s="456"/>
      <c r="P52" s="155"/>
      <c r="Q52" s="452"/>
      <c r="R52" s="155"/>
      <c r="S52" s="457"/>
      <c r="T52" s="460" t="s">
        <v>268</v>
      </c>
      <c r="U52" s="459"/>
      <c r="V52" s="459"/>
      <c r="W52" s="459"/>
      <c r="X52" s="459"/>
      <c r="Y52" s="459"/>
      <c r="Z52" s="459"/>
      <c r="AA52" s="459"/>
      <c r="AB52" s="459"/>
      <c r="AC52" s="459"/>
      <c r="AD52" s="459"/>
      <c r="AE52" s="459"/>
      <c r="AF52" s="459"/>
      <c r="AG52" s="459"/>
      <c r="AH52" s="459"/>
      <c r="AI52" s="459"/>
      <c r="AJ52" s="459"/>
      <c r="AK52" s="459"/>
      <c r="AM52" s="117"/>
      <c r="AN52" s="117" t="str">
        <f aca="false">IF(T52="","",T52)</f>
        <v>Добавить территорию для дифференциации</v>
      </c>
      <c r="AO52" s="117"/>
      <c r="AP52" s="117"/>
    </row>
    <row r="53" s="47" customFormat="true" ht="12.8" hidden="false" customHeight="false" outlineLevel="0" collapsed="false">
      <c r="A53" s="121"/>
      <c r="B53" s="121"/>
      <c r="C53" s="121"/>
      <c r="D53" s="121"/>
      <c r="E53" s="121"/>
      <c r="F53" s="121"/>
      <c r="G53" s="121"/>
      <c r="H53" s="121"/>
      <c r="I53" s="121"/>
      <c r="J53" s="121"/>
      <c r="K53" s="121"/>
      <c r="L53" s="191"/>
      <c r="M53" s="456"/>
      <c r="N53" s="456"/>
      <c r="P53" s="155"/>
      <c r="Q53" s="452"/>
      <c r="R53" s="155"/>
      <c r="S53" s="457"/>
      <c r="T53" s="460" t="s">
        <v>269</v>
      </c>
      <c r="U53" s="459"/>
      <c r="V53" s="459"/>
      <c r="W53" s="459"/>
      <c r="X53" s="459"/>
      <c r="Y53" s="459"/>
      <c r="Z53" s="459"/>
      <c r="AA53" s="459"/>
      <c r="AB53" s="459"/>
      <c r="AC53" s="459"/>
      <c r="AD53" s="459"/>
      <c r="AE53" s="459"/>
      <c r="AF53" s="459"/>
      <c r="AG53" s="459"/>
      <c r="AH53" s="459"/>
      <c r="AI53" s="459"/>
      <c r="AJ53" s="459"/>
      <c r="AK53" s="459"/>
      <c r="AM53" s="117"/>
      <c r="AN53" s="117" t="str">
        <f aca="false">IF(T53="","",T53)</f>
        <v>Добавить наименование тарифа</v>
      </c>
      <c r="AO53" s="117"/>
      <c r="AP53" s="117"/>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2"/>
      <c r="T55" s="491"/>
      <c r="U55" s="491"/>
      <c r="V55" s="491"/>
      <c r="W55" s="491"/>
      <c r="X55" s="491"/>
      <c r="Y55" s="491"/>
      <c r="Z55" s="491"/>
      <c r="AA55" s="491"/>
      <c r="AB55" s="491"/>
      <c r="AC55" s="491"/>
      <c r="AD55" s="491"/>
      <c r="AE55" s="491"/>
      <c r="AF55" s="491"/>
      <c r="AG55" s="491"/>
      <c r="AH55" s="491"/>
      <c r="AI55" s="491"/>
      <c r="AJ55" s="491"/>
      <c r="AK55" s="491"/>
    </row>
    <row r="56" customFormat="false" ht="14.25" hidden="false" customHeight="true" outlineLevel="0" collapsed="false">
      <c r="O56" s="45"/>
    </row>
    <row r="57" customFormat="false" ht="14.25" hidden="false" customHeight="true" outlineLevel="0" collapsed="false">
      <c r="O57" s="45"/>
      <c r="S57" s="412"/>
      <c r="T57" s="491"/>
      <c r="U57" s="491"/>
      <c r="V57" s="491"/>
      <c r="W57" s="491"/>
      <c r="X57" s="491"/>
      <c r="Y57" s="491"/>
      <c r="Z57" s="491"/>
      <c r="AA57" s="491"/>
      <c r="AB57" s="491"/>
      <c r="AC57" s="491"/>
      <c r="AD57" s="491"/>
      <c r="AE57" s="491"/>
      <c r="AF57" s="491"/>
      <c r="AG57" s="491"/>
      <c r="AH57" s="491"/>
      <c r="AI57" s="491"/>
      <c r="AJ57" s="491"/>
      <c r="AK57" s="491"/>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2:AP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K27" activeCellId="0" sqref="AK27"/>
    </sheetView>
  </sheetViews>
  <sheetFormatPr defaultColWidth="10.57421875" defaultRowHeight="14.25" zeroHeight="false" outlineLevelRow="0" outlineLevelCol="0"/>
  <cols>
    <col collapsed="false" customWidth="true" hidden="false" outlineLevel="0" max="3" min="1" style="42" width="10.14"/>
    <col collapsed="false" customWidth="true" hidden="false" outlineLevel="0" max="4" min="4" style="42" width="11.85"/>
    <col collapsed="false" customWidth="true" hidden="false" outlineLevel="0" max="11" min="5" style="42" width="10.14"/>
    <col collapsed="false" customWidth="true" hidden="false" outlineLevel="0" max="12" min="12" style="43" width="10.14"/>
    <col collapsed="false" customWidth="true" hidden="false" outlineLevel="0" max="15" min="13" style="50" width="10.14"/>
    <col collapsed="false" customWidth="true" hidden="false" outlineLevel="0" max="16" min="16" style="51" width="3.71"/>
    <col collapsed="false" customWidth="true" hidden="false" outlineLevel="0" max="17" min="17" style="466" width="3.71"/>
    <col collapsed="false" customWidth="true" hidden="false" outlineLevel="0" max="18" min="18" style="414" width="3.71"/>
    <col collapsed="false" customWidth="true" hidden="false" outlineLevel="0" max="19" min="19" style="75" width="12.71"/>
    <col collapsed="false" customWidth="true" hidden="false" outlineLevel="0" max="20" min="20" style="42" width="32"/>
    <col collapsed="false" customWidth="true" hidden="false" outlineLevel="0" max="21" min="21" style="42" width="0.14"/>
    <col collapsed="false" customWidth="true" hidden="false" outlineLevel="0" max="23" min="22" style="42" width="21.71"/>
    <col collapsed="false" customWidth="true" hidden="false" outlineLevel="0" max="24" min="24" style="42" width="11.71"/>
    <col collapsed="false" customWidth="true" hidden="false" outlineLevel="0" max="25" min="25" style="42" width="3.71"/>
    <col collapsed="false" customWidth="true" hidden="false" outlineLevel="0" max="26" min="26" style="42" width="11.71"/>
    <col collapsed="false" customWidth="true" hidden="false" outlineLevel="0" max="27" min="27" style="42" width="8.57"/>
    <col collapsed="false" customWidth="true" hidden="false" outlineLevel="0" max="28" min="28" style="42" width="28"/>
    <col collapsed="false" customWidth="true" hidden="false" outlineLevel="0" max="29" min="29" style="42" width="24.57"/>
    <col collapsed="false" customWidth="true" hidden="false" outlineLevel="0" max="31" min="30" style="42" width="21.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fals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7" width="10.57"/>
    <col collapsed="false" customWidth="true" hidden="false" outlineLevel="0" max="40" min="40" style="47" width="11.14"/>
    <col collapsed="false" customWidth="false" hidden="false" outlineLevel="0" max="42" min="41" style="47" width="10.57"/>
  </cols>
  <sheetData>
    <row r="2" customFormat="false" ht="21" hidden="false" customHeight="true" outlineLevel="0" collapsed="false">
      <c r="A2" s="233"/>
      <c r="B2" s="233"/>
      <c r="C2" s="233"/>
      <c r="D2" s="233"/>
      <c r="E2" s="492" t="n">
        <v>1</v>
      </c>
      <c r="F2" s="233"/>
      <c r="G2" s="233"/>
      <c r="H2" s="233"/>
      <c r="I2" s="233"/>
      <c r="J2" s="233"/>
      <c r="K2" s="233"/>
      <c r="L2" s="493"/>
      <c r="M2" s="75"/>
      <c r="N2" s="75"/>
      <c r="O2" s="75"/>
      <c r="Q2" s="54"/>
      <c r="R2" s="418"/>
      <c r="S2" s="419" t="e">
        <f aca="false">INDEX(PT_DIFFERENTIATION_NUM_NTAR,MATCH(A2,PT_DIFFERENTIATION_NTAR_ID,0))</f>
        <v>#N/A</v>
      </c>
      <c r="T2" s="420" t="s">
        <v>130</v>
      </c>
      <c r="U2" s="421"/>
      <c r="V2" s="523"/>
      <c r="W2" s="523"/>
      <c r="X2" s="523"/>
      <c r="Y2" s="523"/>
      <c r="Z2" s="523"/>
      <c r="AA2" s="523"/>
      <c r="AB2" s="569"/>
      <c r="AC2" s="523"/>
      <c r="AD2" s="523"/>
      <c r="AE2" s="523"/>
      <c r="AF2" s="523"/>
      <c r="AG2" s="523"/>
      <c r="AH2" s="523"/>
      <c r="AI2" s="523"/>
      <c r="AJ2" s="523"/>
      <c r="AK2" s="424" t="s">
        <v>412</v>
      </c>
      <c r="AM2" s="117"/>
      <c r="AN2" s="117" t="str">
        <f aca="false">IF(T2="","",T2)</f>
        <v>Наименование тарифа</v>
      </c>
      <c r="AO2" s="117"/>
      <c r="AP2" s="117"/>
    </row>
    <row r="3" customFormat="false" ht="21" hidden="false" customHeight="true" outlineLevel="0" collapsed="false">
      <c r="A3" s="233"/>
      <c r="B3" s="233"/>
      <c r="C3" s="233"/>
      <c r="D3" s="233"/>
      <c r="E3" s="492"/>
      <c r="F3" s="492" t="n">
        <v>1</v>
      </c>
      <c r="G3" s="233"/>
      <c r="H3" s="233"/>
      <c r="I3" s="233"/>
      <c r="J3" s="233"/>
      <c r="K3" s="233"/>
      <c r="L3" s="493"/>
      <c r="M3" s="75"/>
      <c r="N3" s="75"/>
      <c r="O3" s="75"/>
      <c r="P3" s="44"/>
      <c r="Q3" s="524"/>
      <c r="R3" s="426"/>
      <c r="S3" s="419" t="e">
        <f aca="false">INDEX(PT_DIFFERENTIATION_NUM_TER,MATCH(B3,PT_DIFFERENTIATION_TER_ID,0))</f>
        <v>#N/A</v>
      </c>
      <c r="T3" s="427" t="s">
        <v>413</v>
      </c>
      <c r="U3" s="421"/>
      <c r="V3" s="523"/>
      <c r="W3" s="523"/>
      <c r="X3" s="523"/>
      <c r="Y3" s="523"/>
      <c r="Z3" s="523"/>
      <c r="AA3" s="523"/>
      <c r="AB3" s="569"/>
      <c r="AC3" s="523"/>
      <c r="AD3" s="523"/>
      <c r="AE3" s="523"/>
      <c r="AF3" s="523"/>
      <c r="AG3" s="523"/>
      <c r="AH3" s="523"/>
      <c r="AI3" s="523"/>
      <c r="AJ3" s="523"/>
      <c r="AK3" s="424" t="s">
        <v>414</v>
      </c>
      <c r="AM3" s="117"/>
      <c r="AN3" s="117" t="str">
        <f aca="false">IF(T3="","",T3)</f>
        <v>Территория действия тарифа</v>
      </c>
      <c r="AO3" s="117"/>
      <c r="AP3" s="117"/>
    </row>
    <row r="4" customFormat="false" ht="22.5" hidden="false" customHeight="true" outlineLevel="0" collapsed="false">
      <c r="A4" s="233"/>
      <c r="B4" s="233"/>
      <c r="C4" s="233"/>
      <c r="D4" s="233"/>
      <c r="E4" s="492"/>
      <c r="F4" s="492"/>
      <c r="G4" s="492" t="n">
        <v>1</v>
      </c>
      <c r="H4" s="233"/>
      <c r="I4" s="233"/>
      <c r="J4" s="233"/>
      <c r="K4" s="233"/>
      <c r="L4" s="493"/>
      <c r="M4" s="75"/>
      <c r="N4" s="75"/>
      <c r="O4" s="75"/>
      <c r="P4" s="126"/>
      <c r="Q4" s="524"/>
      <c r="R4" s="426"/>
      <c r="S4" s="419" t="e">
        <f aca="false">INDEX(PT_DIFFERENTIATION_NUM_CS,MATCH(C4,PT_DIFFERENTIATION_CS_ID,0))</f>
        <v>#N/A</v>
      </c>
      <c r="T4" s="429" t="s">
        <v>415</v>
      </c>
      <c r="U4" s="421"/>
      <c r="V4" s="523"/>
      <c r="W4" s="523"/>
      <c r="X4" s="523"/>
      <c r="Y4" s="523"/>
      <c r="Z4" s="523"/>
      <c r="AA4" s="523"/>
      <c r="AB4" s="569"/>
      <c r="AC4" s="523"/>
      <c r="AD4" s="523"/>
      <c r="AE4" s="523"/>
      <c r="AF4" s="523"/>
      <c r="AG4" s="523"/>
      <c r="AH4" s="523"/>
      <c r="AI4" s="523"/>
      <c r="AJ4" s="523"/>
      <c r="AK4" s="424" t="s">
        <v>416</v>
      </c>
      <c r="AM4" s="117"/>
      <c r="AN4" s="117" t="str">
        <f aca="false">IF(T4="","",T4)</f>
        <v>Наименование системы теплоснабжения</v>
      </c>
      <c r="AO4" s="117"/>
      <c r="AP4" s="117"/>
    </row>
    <row r="5" customFormat="false" ht="21" hidden="false" customHeight="true" outlineLevel="0" collapsed="false">
      <c r="A5" s="233"/>
      <c r="B5" s="233"/>
      <c r="C5" s="233"/>
      <c r="D5" s="233"/>
      <c r="E5" s="492"/>
      <c r="F5" s="492"/>
      <c r="G5" s="492"/>
      <c r="H5" s="492" t="n">
        <v>1</v>
      </c>
      <c r="I5" s="233"/>
      <c r="J5" s="233"/>
      <c r="K5" s="233"/>
      <c r="L5" s="493"/>
      <c r="M5" s="75"/>
      <c r="N5" s="75"/>
      <c r="O5" s="75"/>
      <c r="P5" s="126"/>
      <c r="Q5" s="524"/>
      <c r="R5" s="426"/>
      <c r="S5" s="419" t="e">
        <f aca="false">INDEX(PT_DIFFERENTIATION_NUM_IST_TE,MATCH(D5,PT_DIFFERENTIATION_IST_TE_ID,0))</f>
        <v>#N/A</v>
      </c>
      <c r="T5" s="430" t="s">
        <v>417</v>
      </c>
      <c r="U5" s="421"/>
      <c r="V5" s="523"/>
      <c r="W5" s="523"/>
      <c r="X5" s="523"/>
      <c r="Y5" s="523"/>
      <c r="Z5" s="523"/>
      <c r="AA5" s="523"/>
      <c r="AB5" s="569"/>
      <c r="AC5" s="523"/>
      <c r="AD5" s="523"/>
      <c r="AE5" s="523"/>
      <c r="AF5" s="523"/>
      <c r="AG5" s="523"/>
      <c r="AH5" s="523"/>
      <c r="AI5" s="523"/>
      <c r="AJ5" s="523"/>
      <c r="AK5" s="424" t="s">
        <v>418</v>
      </c>
      <c r="AM5" s="117"/>
      <c r="AN5" s="117" t="str">
        <f aca="false">IF(T5="","",T5)</f>
        <v>Источник тепловой энергии</v>
      </c>
      <c r="AO5" s="117"/>
      <c r="AP5" s="117"/>
    </row>
    <row r="6" s="47" customFormat="true" ht="12.8" hidden="false" customHeight="false" outlineLevel="0" collapsed="false">
      <c r="A6" s="494"/>
      <c r="B6" s="494"/>
      <c r="C6" s="494"/>
      <c r="D6" s="494"/>
      <c r="E6" s="492"/>
      <c r="F6" s="492"/>
      <c r="G6" s="492"/>
      <c r="H6" s="492"/>
      <c r="I6" s="145" t="e">
        <f aca="false">S5&amp;".1"</f>
        <v>#N/A</v>
      </c>
      <c r="J6" s="494"/>
      <c r="K6" s="494"/>
      <c r="L6" s="495" t="s">
        <v>419</v>
      </c>
      <c r="M6" s="482"/>
      <c r="N6" s="482"/>
      <c r="O6" s="482"/>
      <c r="P6" s="120" t="n">
        <v>1</v>
      </c>
      <c r="Q6" s="120"/>
      <c r="R6" s="432"/>
      <c r="S6" s="305"/>
      <c r="T6" s="502"/>
      <c r="U6" s="503"/>
      <c r="V6" s="525"/>
      <c r="W6" s="525"/>
      <c r="X6" s="525"/>
      <c r="Y6" s="525"/>
      <c r="Z6" s="525"/>
      <c r="AA6" s="525"/>
      <c r="AB6" s="570"/>
      <c r="AC6" s="525"/>
      <c r="AD6" s="525"/>
      <c r="AE6" s="525"/>
      <c r="AF6" s="525"/>
      <c r="AG6" s="525"/>
      <c r="AH6" s="525"/>
      <c r="AI6" s="525"/>
      <c r="AJ6" s="525"/>
      <c r="AK6" s="505"/>
      <c r="AM6" s="117"/>
      <c r="AN6" s="117" t="str">
        <f aca="false">IF(T6="","",T6)</f>
        <v/>
      </c>
      <c r="AO6" s="117"/>
      <c r="AP6" s="117"/>
    </row>
    <row r="7" s="47" customFormat="true" ht="12.8" hidden="false" customHeight="false" outlineLevel="0" collapsed="false">
      <c r="A7" s="494"/>
      <c r="B7" s="494"/>
      <c r="C7" s="494"/>
      <c r="D7" s="494"/>
      <c r="E7" s="492"/>
      <c r="F7" s="492"/>
      <c r="G7" s="492"/>
      <c r="H7" s="492"/>
      <c r="I7" s="145"/>
      <c r="J7" s="145" t="e">
        <f aca="false">S5&amp;".1"</f>
        <v>#N/A</v>
      </c>
      <c r="K7" s="494"/>
      <c r="L7" s="495"/>
      <c r="M7" s="482"/>
      <c r="N7" s="482"/>
      <c r="O7" s="482"/>
      <c r="P7" s="120"/>
      <c r="Q7" s="120" t="n">
        <v>1</v>
      </c>
      <c r="R7" s="435"/>
      <c r="S7" s="305"/>
      <c r="T7" s="526"/>
      <c r="U7" s="503"/>
      <c r="V7" s="525"/>
      <c r="W7" s="525"/>
      <c r="X7" s="525"/>
      <c r="Y7" s="525"/>
      <c r="Z7" s="525"/>
      <c r="AA7" s="525"/>
      <c r="AB7" s="570"/>
      <c r="AC7" s="525"/>
      <c r="AD7" s="525"/>
      <c r="AE7" s="525"/>
      <c r="AF7" s="525"/>
      <c r="AG7" s="525"/>
      <c r="AH7" s="525"/>
      <c r="AI7" s="525"/>
      <c r="AJ7" s="525"/>
      <c r="AK7" s="505"/>
      <c r="AM7" s="117"/>
      <c r="AN7" s="117" t="str">
        <f aca="false">IF(T7="","",T7)</f>
        <v/>
      </c>
      <c r="AO7" s="117"/>
      <c r="AP7" s="117"/>
    </row>
    <row r="8" customFormat="false" ht="21" hidden="false" customHeight="true" outlineLevel="0" collapsed="false">
      <c r="A8" s="233"/>
      <c r="B8" s="233"/>
      <c r="C8" s="233"/>
      <c r="D8" s="233"/>
      <c r="E8" s="492"/>
      <c r="F8" s="492"/>
      <c r="G8" s="492"/>
      <c r="H8" s="492"/>
      <c r="I8" s="145"/>
      <c r="J8" s="145"/>
      <c r="K8" s="133" t="e">
        <f aca="false">S5&amp;".1"</f>
        <v>#N/A</v>
      </c>
      <c r="L8" s="493"/>
      <c r="P8" s="120"/>
      <c r="Q8" s="120"/>
      <c r="R8" s="527" t="n">
        <v>1</v>
      </c>
      <c r="S8" s="419" t="e">
        <f aca="false">$K8</f>
        <v>#N/A</v>
      </c>
      <c r="T8" s="528"/>
      <c r="U8" s="421"/>
      <c r="V8" s="438"/>
      <c r="W8" s="440"/>
      <c r="X8" s="441"/>
      <c r="Y8" s="203" t="s">
        <v>63</v>
      </c>
      <c r="Z8" s="441"/>
      <c r="AA8" s="203" t="s">
        <v>63</v>
      </c>
      <c r="AB8" s="203"/>
      <c r="AC8" s="100"/>
      <c r="AD8" s="438"/>
      <c r="AE8" s="440"/>
      <c r="AF8" s="441"/>
      <c r="AG8" s="203" t="s">
        <v>63</v>
      </c>
      <c r="AH8" s="441"/>
      <c r="AI8" s="203" t="s">
        <v>63</v>
      </c>
      <c r="AJ8" s="489"/>
      <c r="AK8" s="442" t="s">
        <v>477</v>
      </c>
      <c r="AL8" s="47" t="e">
        <f aca="false">strcheckdate(V11:AJ11)</f>
        <v>#NAME?</v>
      </c>
      <c r="AM8" s="117"/>
      <c r="AN8" s="117" t="str">
        <f aca="false">IF(T8="","",T8)</f>
        <v/>
      </c>
      <c r="AO8" s="117"/>
      <c r="AP8" s="117"/>
    </row>
    <row r="9" customFormat="false" ht="11.25" hidden="false" customHeight="true" outlineLevel="0" collapsed="false">
      <c r="A9" s="233"/>
      <c r="B9" s="233"/>
      <c r="C9" s="233"/>
      <c r="D9" s="233"/>
      <c r="E9" s="492"/>
      <c r="F9" s="492"/>
      <c r="G9" s="492"/>
      <c r="H9" s="492"/>
      <c r="I9" s="145"/>
      <c r="J9" s="145"/>
      <c r="K9" s="133"/>
      <c r="L9" s="493"/>
      <c r="P9" s="120"/>
      <c r="Q9" s="120"/>
      <c r="R9" s="527"/>
      <c r="S9" s="419"/>
      <c r="T9" s="528"/>
      <c r="U9" s="421"/>
      <c r="V9" s="519"/>
      <c r="W9" s="531"/>
      <c r="X9" s="441"/>
      <c r="Y9" s="203"/>
      <c r="Z9" s="441"/>
      <c r="AA9" s="203"/>
      <c r="AB9" s="203"/>
      <c r="AC9" s="100"/>
      <c r="AD9" s="519"/>
      <c r="AE9" s="533"/>
      <c r="AF9" s="519"/>
      <c r="AG9" s="519"/>
      <c r="AH9" s="519"/>
      <c r="AI9" s="519"/>
      <c r="AJ9" s="534"/>
      <c r="AK9" s="442"/>
      <c r="AM9" s="117"/>
      <c r="AN9" s="117"/>
      <c r="AO9" s="117"/>
      <c r="AP9" s="117"/>
    </row>
    <row r="10" customFormat="false" ht="11.25" hidden="false" customHeight="true" outlineLevel="0" collapsed="false">
      <c r="A10" s="233"/>
      <c r="B10" s="233"/>
      <c r="C10" s="233"/>
      <c r="D10" s="233"/>
      <c r="E10" s="492"/>
      <c r="F10" s="492"/>
      <c r="G10" s="492"/>
      <c r="H10" s="492"/>
      <c r="I10" s="145"/>
      <c r="J10" s="145"/>
      <c r="K10" s="133"/>
      <c r="L10" s="493"/>
      <c r="P10" s="120"/>
      <c r="Q10" s="120"/>
      <c r="R10" s="527"/>
      <c r="S10" s="419"/>
      <c r="T10" s="528"/>
      <c r="U10" s="421"/>
      <c r="V10" s="519"/>
      <c r="W10" s="531"/>
      <c r="X10" s="441"/>
      <c r="Y10" s="203"/>
      <c r="Z10" s="441"/>
      <c r="AA10" s="203"/>
      <c r="AB10" s="203"/>
      <c r="AC10" s="100"/>
      <c r="AD10" s="519"/>
      <c r="AE10" s="533"/>
      <c r="AF10" s="519"/>
      <c r="AG10" s="519"/>
      <c r="AH10" s="519"/>
      <c r="AI10" s="519"/>
      <c r="AJ10" s="534"/>
      <c r="AK10" s="442"/>
      <c r="AM10" s="117"/>
      <c r="AN10" s="117"/>
      <c r="AO10" s="117"/>
      <c r="AP10" s="117"/>
    </row>
    <row r="11" customFormat="false" ht="11.25" hidden="false" customHeight="true" outlineLevel="0" collapsed="false">
      <c r="A11" s="233"/>
      <c r="B11" s="233"/>
      <c r="C11" s="233"/>
      <c r="D11" s="233"/>
      <c r="E11" s="492"/>
      <c r="F11" s="492"/>
      <c r="G11" s="492"/>
      <c r="H11" s="492"/>
      <c r="I11" s="145"/>
      <c r="J11" s="145"/>
      <c r="K11" s="133"/>
      <c r="L11" s="493"/>
      <c r="P11" s="120"/>
      <c r="Q11" s="120"/>
      <c r="R11" s="527"/>
      <c r="S11" s="419"/>
      <c r="T11" s="528"/>
      <c r="U11" s="421"/>
      <c r="V11" s="519"/>
      <c r="W11" s="536" t="str">
        <f aca="false">X8&amp;"-"&amp;Z8</f>
        <v>-</v>
      </c>
      <c r="X11" s="441"/>
      <c r="Y11" s="203"/>
      <c r="Z11" s="441"/>
      <c r="AA11" s="203"/>
      <c r="AB11" s="571"/>
      <c r="AC11" s="160" t="s">
        <v>480</v>
      </c>
      <c r="AD11" s="519"/>
      <c r="AE11" s="520" t="str">
        <f aca="false">AF8&amp;"-"&amp;AH8</f>
        <v>-</v>
      </c>
      <c r="AF11" s="519"/>
      <c r="AG11" s="519"/>
      <c r="AH11" s="519"/>
      <c r="AI11" s="519"/>
      <c r="AJ11" s="490"/>
      <c r="AK11" s="442"/>
      <c r="AM11" s="117"/>
      <c r="AN11" s="117" t="str">
        <f aca="false">IF(T11="","",T11)</f>
        <v/>
      </c>
      <c r="AO11" s="117"/>
      <c r="AP11" s="117"/>
    </row>
    <row r="12" customFormat="false" ht="11.25" hidden="false" customHeight="true" outlineLevel="0" collapsed="false">
      <c r="A12" s="233"/>
      <c r="B12" s="233"/>
      <c r="C12" s="233"/>
      <c r="D12" s="233"/>
      <c r="E12" s="492"/>
      <c r="F12" s="492"/>
      <c r="G12" s="492"/>
      <c r="H12" s="492"/>
      <c r="I12" s="145"/>
      <c r="J12" s="145"/>
      <c r="K12" s="233"/>
      <c r="L12" s="493"/>
      <c r="P12" s="120"/>
      <c r="Q12" s="120"/>
      <c r="R12" s="432"/>
      <c r="S12" s="444"/>
      <c r="T12" s="447" t="s">
        <v>481</v>
      </c>
      <c r="U12" s="193"/>
      <c r="V12" s="193"/>
      <c r="W12" s="193"/>
      <c r="X12" s="193"/>
      <c r="Y12" s="193"/>
      <c r="Z12" s="193"/>
      <c r="AA12" s="193"/>
      <c r="AB12" s="193"/>
      <c r="AC12" s="193"/>
      <c r="AD12" s="193"/>
      <c r="AE12" s="193"/>
      <c r="AF12" s="193"/>
      <c r="AG12" s="193"/>
      <c r="AH12" s="193"/>
      <c r="AI12" s="193"/>
      <c r="AJ12" s="446"/>
      <c r="AK12" s="442"/>
      <c r="AM12" s="117"/>
      <c r="AN12" s="117" t="str">
        <f aca="false">IF(T12="","",T12)</f>
        <v>Добавить строку</v>
      </c>
      <c r="AO12" s="117"/>
      <c r="AP12" s="117"/>
    </row>
    <row r="13" s="47" customFormat="true" ht="12.8" hidden="false" customHeight="false" outlineLevel="0" collapsed="false">
      <c r="A13" s="494"/>
      <c r="B13" s="494"/>
      <c r="C13" s="494"/>
      <c r="D13" s="494"/>
      <c r="E13" s="492"/>
      <c r="F13" s="492"/>
      <c r="G13" s="492"/>
      <c r="H13" s="492"/>
      <c r="I13" s="145"/>
      <c r="J13" s="494"/>
      <c r="K13" s="494"/>
      <c r="L13" s="495"/>
      <c r="M13" s="482"/>
      <c r="N13" s="482"/>
      <c r="O13" s="482"/>
      <c r="P13" s="120"/>
      <c r="Q13" s="120"/>
      <c r="R13" s="432"/>
      <c r="S13" s="506"/>
      <c r="T13" s="507"/>
      <c r="U13" s="508"/>
      <c r="V13" s="508"/>
      <c r="W13" s="508"/>
      <c r="X13" s="508"/>
      <c r="Y13" s="508"/>
      <c r="Z13" s="508"/>
      <c r="AA13" s="508"/>
      <c r="AB13" s="508"/>
      <c r="AC13" s="508"/>
      <c r="AD13" s="508"/>
      <c r="AE13" s="508"/>
      <c r="AF13" s="508"/>
      <c r="AG13" s="508"/>
      <c r="AH13" s="508"/>
      <c r="AI13" s="508"/>
      <c r="AJ13" s="508"/>
      <c r="AK13" s="509"/>
      <c r="AM13" s="117"/>
      <c r="AN13" s="117" t="str">
        <f aca="false">IF(T13="","",T13)</f>
        <v/>
      </c>
      <c r="AO13" s="117"/>
      <c r="AP13" s="117"/>
    </row>
    <row r="14" s="47" customFormat="true" ht="12.8" hidden="false" customHeight="false" outlineLevel="0" collapsed="false">
      <c r="A14" s="494"/>
      <c r="B14" s="494"/>
      <c r="C14" s="494"/>
      <c r="D14" s="494"/>
      <c r="E14" s="492"/>
      <c r="F14" s="492"/>
      <c r="G14" s="492"/>
      <c r="H14" s="492"/>
      <c r="I14" s="494"/>
      <c r="J14" s="494"/>
      <c r="K14" s="494"/>
      <c r="L14" s="495"/>
      <c r="M14" s="496"/>
      <c r="N14" s="496"/>
      <c r="O14" s="119"/>
      <c r="P14" s="155"/>
      <c r="Q14" s="452"/>
      <c r="R14" s="539"/>
      <c r="S14" s="506"/>
      <c r="T14" s="507"/>
      <c r="U14" s="508"/>
      <c r="V14" s="508"/>
      <c r="W14" s="508"/>
      <c r="X14" s="508"/>
      <c r="Y14" s="508"/>
      <c r="Z14" s="508"/>
      <c r="AA14" s="508"/>
      <c r="AB14" s="508"/>
      <c r="AC14" s="508"/>
      <c r="AD14" s="508"/>
      <c r="AE14" s="508"/>
      <c r="AF14" s="508"/>
      <c r="AG14" s="508"/>
      <c r="AH14" s="508"/>
      <c r="AI14" s="508"/>
      <c r="AJ14" s="508"/>
      <c r="AK14" s="509"/>
      <c r="AM14" s="117"/>
      <c r="AN14" s="117" t="str">
        <f aca="false">IF(T14="","",T14)</f>
        <v/>
      </c>
      <c r="AO14" s="117"/>
      <c r="AP14" s="117"/>
    </row>
    <row r="15" s="47" customFormat="true" ht="12.8" hidden="false" customHeight="false" outlineLevel="0" collapsed="false">
      <c r="A15" s="494"/>
      <c r="B15" s="494"/>
      <c r="C15" s="494"/>
      <c r="D15" s="494"/>
      <c r="E15" s="492"/>
      <c r="F15" s="492"/>
      <c r="G15" s="492"/>
      <c r="H15" s="494"/>
      <c r="I15" s="494"/>
      <c r="J15" s="494"/>
      <c r="K15" s="494"/>
      <c r="L15" s="495"/>
      <c r="M15" s="496"/>
      <c r="N15" s="496"/>
      <c r="O15" s="119"/>
      <c r="P15" s="155"/>
      <c r="Q15" s="452"/>
      <c r="R15" s="155"/>
      <c r="S15" s="457"/>
      <c r="T15" s="460" t="s">
        <v>430</v>
      </c>
      <c r="U15" s="459"/>
      <c r="V15" s="459"/>
      <c r="W15" s="459"/>
      <c r="X15" s="459"/>
      <c r="Y15" s="459"/>
      <c r="Z15" s="459"/>
      <c r="AA15" s="459"/>
      <c r="AB15" s="459"/>
      <c r="AC15" s="459"/>
      <c r="AD15" s="459"/>
      <c r="AE15" s="459"/>
      <c r="AF15" s="459"/>
      <c r="AG15" s="459"/>
      <c r="AH15" s="459"/>
      <c r="AI15" s="459"/>
      <c r="AJ15" s="459"/>
      <c r="AK15" s="459"/>
      <c r="AM15" s="117"/>
      <c r="AN15" s="117" t="str">
        <f aca="false">IF(T15="","",T15)</f>
        <v>Добавить источник для дифференциации</v>
      </c>
      <c r="AO15" s="117"/>
      <c r="AP15" s="117"/>
    </row>
    <row r="16" s="47" customFormat="true" ht="12.8" hidden="false" customHeight="false" outlineLevel="0" collapsed="false">
      <c r="A16" s="494"/>
      <c r="B16" s="494"/>
      <c r="C16" s="494"/>
      <c r="D16" s="494"/>
      <c r="E16" s="492"/>
      <c r="F16" s="492"/>
      <c r="G16" s="494"/>
      <c r="H16" s="494"/>
      <c r="I16" s="494"/>
      <c r="J16" s="494"/>
      <c r="K16" s="494"/>
      <c r="L16" s="495"/>
      <c r="M16" s="497"/>
      <c r="N16" s="497"/>
      <c r="O16" s="119"/>
      <c r="P16" s="155"/>
      <c r="Q16" s="452"/>
      <c r="R16" s="155"/>
      <c r="S16" s="457"/>
      <c r="T16" s="460" t="s">
        <v>261</v>
      </c>
      <c r="U16" s="459"/>
      <c r="V16" s="459"/>
      <c r="W16" s="459"/>
      <c r="X16" s="459"/>
      <c r="Y16" s="459"/>
      <c r="Z16" s="459"/>
      <c r="AA16" s="459"/>
      <c r="AB16" s="459"/>
      <c r="AC16" s="459"/>
      <c r="AD16" s="459"/>
      <c r="AE16" s="459"/>
      <c r="AF16" s="459"/>
      <c r="AG16" s="459"/>
      <c r="AH16" s="459"/>
      <c r="AI16" s="459"/>
      <c r="AJ16" s="459"/>
      <c r="AK16" s="459"/>
      <c r="AM16" s="117"/>
      <c r="AN16" s="117" t="str">
        <f aca="false">IF(T16="","",T16)</f>
        <v>Добавить централизованную систему для дифференциации</v>
      </c>
      <c r="AO16" s="117"/>
      <c r="AP16" s="117"/>
    </row>
    <row r="17" s="47" customFormat="true" ht="12.8" hidden="false" customHeight="false" outlineLevel="0" collapsed="false">
      <c r="A17" s="494"/>
      <c r="B17" s="494"/>
      <c r="C17" s="494"/>
      <c r="D17" s="494"/>
      <c r="E17" s="492"/>
      <c r="F17" s="494"/>
      <c r="G17" s="494"/>
      <c r="H17" s="494"/>
      <c r="I17" s="494"/>
      <c r="J17" s="494"/>
      <c r="K17" s="494"/>
      <c r="L17" s="495"/>
      <c r="M17" s="497"/>
      <c r="N17" s="497"/>
      <c r="O17" s="119"/>
      <c r="P17" s="155"/>
      <c r="Q17" s="452"/>
      <c r="R17" s="155"/>
      <c r="S17" s="457"/>
      <c r="T17" s="460" t="s">
        <v>268</v>
      </c>
      <c r="U17" s="459"/>
      <c r="V17" s="459"/>
      <c r="W17" s="459"/>
      <c r="X17" s="459"/>
      <c r="Y17" s="459"/>
      <c r="Z17" s="459"/>
      <c r="AA17" s="459"/>
      <c r="AB17" s="459"/>
      <c r="AC17" s="459"/>
      <c r="AD17" s="459"/>
      <c r="AE17" s="459"/>
      <c r="AF17" s="459"/>
      <c r="AG17" s="459"/>
      <c r="AH17" s="459"/>
      <c r="AI17" s="459"/>
      <c r="AJ17" s="459"/>
      <c r="AK17" s="459"/>
      <c r="AM17" s="117"/>
      <c r="AN17" s="117" t="str">
        <f aca="false">IF(T17="","",T17)</f>
        <v>Добавить территорию для дифференциации</v>
      </c>
      <c r="AO17" s="117"/>
      <c r="AP17" s="117"/>
    </row>
    <row r="19" customFormat="false" ht="14.25" hidden="false" customHeight="true" outlineLevel="0" collapsed="false">
      <c r="AC19" s="541"/>
      <c r="AD19" s="544"/>
      <c r="AE19" s="545"/>
      <c r="AF19" s="546"/>
      <c r="AG19" s="248" t="s">
        <v>63</v>
      </c>
      <c r="AH19" s="546"/>
      <c r="AI19" s="248" t="s">
        <v>63</v>
      </c>
    </row>
    <row r="20" customFormat="false" ht="14.25" hidden="false" customHeight="true" outlineLevel="0" collapsed="false">
      <c r="AL20" s="119"/>
      <c r="AM20" s="119"/>
      <c r="AN20" s="119"/>
      <c r="AO20" s="119"/>
      <c r="AP20" s="119"/>
    </row>
    <row r="21" customFormat="false" ht="14.25" hidden="false" customHeight="true" outlineLevel="0" collapsed="false">
      <c r="O21" s="498" t="s">
        <v>431</v>
      </c>
      <c r="X21" s="498"/>
      <c r="Z21" s="498"/>
      <c r="AF21" s="498"/>
      <c r="AH21" s="498"/>
      <c r="AL21" s="119"/>
      <c r="AM21" s="119"/>
      <c r="AN21" s="119"/>
      <c r="AO21" s="119"/>
      <c r="AP21" s="119"/>
    </row>
    <row r="22" customFormat="false" ht="14.25" hidden="false" customHeight="true" outlineLevel="0" collapsed="false">
      <c r="AL22" s="119"/>
      <c r="AM22" s="119"/>
      <c r="AN22" s="119"/>
      <c r="AO22" s="119"/>
      <c r="AP22" s="119"/>
    </row>
    <row r="23" s="547" customFormat="true" ht="14.25" hidden="false" customHeight="true" outlineLevel="0" collapsed="false">
      <c r="A23" s="572"/>
      <c r="B23" s="572"/>
      <c r="C23" s="572"/>
      <c r="D23" s="572"/>
      <c r="E23" s="572"/>
      <c r="F23" s="572"/>
      <c r="G23" s="572"/>
      <c r="H23" s="572"/>
      <c r="I23" s="572"/>
      <c r="J23" s="572"/>
      <c r="K23" s="572"/>
      <c r="L23" s="572"/>
      <c r="M23" s="499"/>
      <c r="N23" s="499"/>
      <c r="O23" s="572" t="s">
        <v>432</v>
      </c>
      <c r="P23" s="548"/>
      <c r="Q23" s="549"/>
      <c r="R23" s="549"/>
      <c r="Y23" s="547" t="s">
        <v>434</v>
      </c>
      <c r="AA23" s="547" t="s">
        <v>435</v>
      </c>
      <c r="AC23" s="547" t="s">
        <v>483</v>
      </c>
      <c r="AG23" s="547" t="s">
        <v>434</v>
      </c>
      <c r="AI23" s="547" t="s">
        <v>435</v>
      </c>
      <c r="AL23" s="550"/>
      <c r="AM23" s="550"/>
      <c r="AN23" s="550"/>
      <c r="AO23" s="550"/>
      <c r="AP23" s="550"/>
    </row>
    <row r="24" customFormat="false" ht="14.25" hidden="false" customHeight="true" outlineLevel="0" collapsed="false">
      <c r="O24" s="493"/>
      <c r="AL24" s="119"/>
      <c r="AM24" s="119"/>
      <c r="AN24" s="119"/>
      <c r="AO24" s="119"/>
      <c r="AP24" s="119"/>
    </row>
    <row r="25" customFormat="false" ht="14.25" hidden="false" customHeight="true" outlineLevel="0" collapsed="false">
      <c r="O25" s="493"/>
      <c r="AL25" s="119"/>
      <c r="AM25" s="119"/>
      <c r="AN25" s="119"/>
      <c r="AO25" s="119"/>
      <c r="AP25" s="119"/>
    </row>
    <row r="26" customFormat="false" ht="14.25" hidden="false" customHeight="true" outlineLevel="0" collapsed="false">
      <c r="Q26" s="551"/>
      <c r="R26" s="467"/>
      <c r="S26" s="468"/>
      <c r="T26" s="79"/>
      <c r="U26" s="79"/>
    </row>
    <row r="27" customFormat="false" ht="38.25" hidden="false" customHeight="true" outlineLevel="0" collapsed="false">
      <c r="Q27" s="551"/>
      <c r="R27" s="467"/>
      <c r="S27" s="212" t="str">
        <f aca="false">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
      <c r="U27" s="212"/>
      <c r="V27" s="212"/>
      <c r="W27" s="212"/>
      <c r="X27" s="212"/>
      <c r="Y27" s="212"/>
      <c r="Z27" s="212"/>
      <c r="AA27" s="212"/>
      <c r="AB27" s="212"/>
      <c r="AC27" s="212"/>
      <c r="AD27" s="212"/>
      <c r="AE27" s="212"/>
      <c r="AF27" s="212"/>
      <c r="AG27" s="212"/>
      <c r="AH27" s="212"/>
      <c r="AI27" s="214"/>
    </row>
    <row r="28" customFormat="false" ht="14.25" hidden="false" customHeight="true" outlineLevel="0" collapsed="false">
      <c r="Q28" s="551"/>
      <c r="R28" s="467"/>
      <c r="S28" s="265" t="str">
        <f aca="false">IF(org=0,"Не определено",org)</f>
        <v>ООО "Газпром теплоэнерго Ярославль"</v>
      </c>
      <c r="T28" s="265"/>
      <c r="U28" s="265"/>
      <c r="V28" s="265"/>
      <c r="W28" s="265"/>
      <c r="X28" s="265"/>
      <c r="Y28" s="265"/>
      <c r="Z28" s="265"/>
      <c r="AA28" s="265"/>
      <c r="AB28" s="265"/>
      <c r="AC28" s="265"/>
      <c r="AD28" s="265"/>
      <c r="AE28" s="265"/>
      <c r="AF28" s="265"/>
      <c r="AG28" s="265"/>
      <c r="AH28" s="265"/>
      <c r="AI28" s="214"/>
    </row>
    <row r="29" customFormat="false" ht="14.25" hidden="true" customHeight="true" outlineLevel="0" collapsed="false">
      <c r="Q29" s="551"/>
      <c r="R29" s="467"/>
      <c r="S29" s="468"/>
      <c r="T29" s="79"/>
      <c r="U29" s="79"/>
      <c r="V29" s="469"/>
      <c r="W29" s="469"/>
      <c r="X29" s="469"/>
      <c r="Y29" s="469"/>
      <c r="Z29" s="469"/>
      <c r="AA29" s="469"/>
      <c r="AB29" s="469"/>
      <c r="AC29" s="469"/>
      <c r="AD29" s="469"/>
      <c r="AE29" s="469"/>
      <c r="AF29" s="469"/>
      <c r="AG29" s="469"/>
      <c r="AH29" s="469"/>
      <c r="AI29" s="469"/>
    </row>
    <row r="30" s="174" customFormat="true" ht="25.5" hidden="true" customHeight="true" outlineLevel="0" collapsed="false">
      <c r="A30" s="95"/>
      <c r="B30" s="95"/>
      <c r="C30" s="95"/>
      <c r="D30" s="95"/>
      <c r="E30" s="95"/>
      <c r="F30" s="95"/>
      <c r="G30" s="95"/>
      <c r="H30" s="95"/>
      <c r="I30" s="95"/>
      <c r="J30" s="95"/>
      <c r="K30" s="95"/>
      <c r="L30" s="493"/>
      <c r="M30" s="95"/>
      <c r="N30" s="95"/>
      <c r="O30" s="95"/>
      <c r="P30" s="139"/>
      <c r="Q30" s="139"/>
      <c r="S30" s="470" t="s">
        <v>37</v>
      </c>
      <c r="T30" s="470"/>
      <c r="U30" s="471"/>
      <c r="V30" s="472" t="str">
        <f aca="false">IF(TITLE_NAME_OR_PR_CHANGE="",IF(TITLE_NAME_OR_PR="","",TITLE_NAME_OR_PR),TITLE_NAME_OR_PR_CHANGE)</f>
        <v>Министерство тарифного регулирования Ярославской области</v>
      </c>
      <c r="W30" s="472"/>
      <c r="X30" s="472"/>
      <c r="Y30" s="472"/>
      <c r="Z30" s="472"/>
      <c r="AA30" s="42"/>
      <c r="AB30" s="42"/>
      <c r="AC30" s="472"/>
      <c r="AD30" s="472"/>
      <c r="AE30" s="472"/>
      <c r="AF30" s="472"/>
      <c r="AG30" s="472"/>
      <c r="AH30" s="472"/>
      <c r="AI30" s="42"/>
      <c r="AJ30" s="42"/>
      <c r="AK30" s="473"/>
      <c r="AL30" s="117"/>
      <c r="AM30" s="117"/>
      <c r="AN30" s="117"/>
      <c r="AO30" s="117"/>
      <c r="AP30" s="117"/>
    </row>
    <row r="31" s="174" customFormat="true" ht="18.75" hidden="true" customHeight="true" outlineLevel="0" collapsed="false">
      <c r="A31" s="95"/>
      <c r="B31" s="95"/>
      <c r="C31" s="95"/>
      <c r="D31" s="95"/>
      <c r="E31" s="95"/>
      <c r="F31" s="95"/>
      <c r="G31" s="95"/>
      <c r="H31" s="95"/>
      <c r="I31" s="95"/>
      <c r="J31" s="95"/>
      <c r="K31" s="95"/>
      <c r="L31" s="493"/>
      <c r="M31" s="95"/>
      <c r="N31" s="95"/>
      <c r="O31" s="95"/>
      <c r="P31" s="139"/>
      <c r="Q31" s="139"/>
      <c r="S31" s="470" t="s">
        <v>437</v>
      </c>
      <c r="T31" s="470"/>
      <c r="U31" s="471"/>
      <c r="V31" s="474" t="str">
        <f aca="false">IF(TITLE_DATE_PR_CHANGE="",IF(TITLE_DATE_PR="","",TITLE_DATE_PR),TITLE_DATE_PR_CHANGE)</f>
        <v>45279.46460648148</v>
      </c>
      <c r="W31" s="474"/>
      <c r="X31" s="474"/>
      <c r="Y31" s="474"/>
      <c r="Z31" s="474"/>
      <c r="AA31" s="42"/>
      <c r="AB31" s="42"/>
      <c r="AC31" s="474"/>
      <c r="AD31" s="474"/>
      <c r="AE31" s="474"/>
      <c r="AF31" s="474"/>
      <c r="AG31" s="474"/>
      <c r="AH31" s="474"/>
      <c r="AI31" s="42"/>
      <c r="AJ31" s="42"/>
      <c r="AK31" s="473"/>
      <c r="AL31" s="117"/>
      <c r="AM31" s="117"/>
      <c r="AN31" s="117"/>
      <c r="AO31" s="117"/>
      <c r="AP31" s="117"/>
    </row>
    <row r="32" s="174" customFormat="true" ht="18.75" hidden="true" customHeight="true" outlineLevel="0" collapsed="false">
      <c r="A32" s="95"/>
      <c r="B32" s="95"/>
      <c r="C32" s="95"/>
      <c r="D32" s="95"/>
      <c r="E32" s="95"/>
      <c r="F32" s="95"/>
      <c r="G32" s="95"/>
      <c r="H32" s="95"/>
      <c r="I32" s="95"/>
      <c r="J32" s="95"/>
      <c r="K32" s="95"/>
      <c r="L32" s="493"/>
      <c r="M32" s="95"/>
      <c r="N32" s="95"/>
      <c r="O32" s="95"/>
      <c r="P32" s="139"/>
      <c r="Q32" s="139"/>
      <c r="S32" s="470" t="s">
        <v>438</v>
      </c>
      <c r="T32" s="470"/>
      <c r="U32" s="471"/>
      <c r="V32" s="472" t="str">
        <f aca="false">IF(TITLE_NUMBER_PR_CHANGE="",IF(TITLE_NUMBER_PR="","",TITLE_NUMBER_PR),TITLE_NUMBER_PR_CHANGE)</f>
        <v>403-гвс, 404-гвс, 406-гвс</v>
      </c>
      <c r="W32" s="472"/>
      <c r="X32" s="472"/>
      <c r="Y32" s="472"/>
      <c r="Z32" s="472"/>
      <c r="AA32" s="42"/>
      <c r="AB32" s="42"/>
      <c r="AC32" s="472"/>
      <c r="AD32" s="472"/>
      <c r="AE32" s="472"/>
      <c r="AF32" s="472"/>
      <c r="AG32" s="472"/>
      <c r="AH32" s="472"/>
      <c r="AI32" s="42"/>
      <c r="AJ32" s="42"/>
      <c r="AK32" s="473"/>
      <c r="AL32" s="117"/>
      <c r="AM32" s="117"/>
      <c r="AN32" s="117"/>
      <c r="AO32" s="117"/>
      <c r="AP32" s="117"/>
    </row>
    <row r="33" s="174" customFormat="true" ht="18.75" hidden="true" customHeight="true" outlineLevel="0" collapsed="false">
      <c r="A33" s="95"/>
      <c r="B33" s="95"/>
      <c r="C33" s="95"/>
      <c r="D33" s="95"/>
      <c r="E33" s="95"/>
      <c r="F33" s="95"/>
      <c r="G33" s="95"/>
      <c r="H33" s="95"/>
      <c r="I33" s="95"/>
      <c r="J33" s="95"/>
      <c r="K33" s="95"/>
      <c r="L33" s="493"/>
      <c r="M33" s="95"/>
      <c r="N33" s="95"/>
      <c r="O33" s="95"/>
      <c r="P33" s="139"/>
      <c r="Q33" s="139"/>
      <c r="S33" s="470" t="s">
        <v>39</v>
      </c>
      <c r="T33" s="470"/>
      <c r="U33" s="471"/>
      <c r="V33" s="472" t="str">
        <f aca="false">IF(TITLE_IST_PUB_CHANGE="",IF(TITLE_IST_PUB="","",TITLE_IST_PUB),TITLE_IST_PUB_CHANGE)</f>
        <v>официальный интернет- портал правовой информации www.pravo.gov.ru</v>
      </c>
      <c r="W33" s="472"/>
      <c r="X33" s="472"/>
      <c r="Y33" s="472"/>
      <c r="Z33" s="472"/>
      <c r="AA33" s="42"/>
      <c r="AB33" s="42"/>
      <c r="AC33" s="472"/>
      <c r="AD33" s="472"/>
      <c r="AE33" s="472"/>
      <c r="AF33" s="472"/>
      <c r="AG33" s="472"/>
      <c r="AH33" s="472"/>
      <c r="AI33" s="42"/>
      <c r="AJ33" s="42"/>
      <c r="AK33" s="473"/>
      <c r="AL33" s="117"/>
      <c r="AM33" s="117"/>
      <c r="AN33" s="117"/>
      <c r="AO33" s="117"/>
      <c r="AP33" s="117"/>
    </row>
    <row r="34" customFormat="false" ht="14.25" hidden="true" customHeight="true" outlineLevel="0" collapsed="false">
      <c r="Q34" s="551"/>
      <c r="R34" s="467"/>
      <c r="S34" s="468"/>
      <c r="T34" s="79"/>
      <c r="U34" s="79"/>
      <c r="V34" s="469"/>
      <c r="W34" s="469"/>
      <c r="X34" s="469"/>
      <c r="Y34" s="469"/>
      <c r="Z34" s="469"/>
      <c r="AA34" s="469"/>
      <c r="AB34" s="469"/>
      <c r="AC34" s="469"/>
      <c r="AD34" s="469"/>
      <c r="AE34" s="469"/>
      <c r="AF34" s="469"/>
      <c r="AG34" s="469"/>
      <c r="AH34" s="469"/>
      <c r="AI34" s="469"/>
    </row>
    <row r="35" s="174" customFormat="true" ht="18.75" hidden="true" customHeight="true" outlineLevel="0" collapsed="false">
      <c r="A35" s="95"/>
      <c r="B35" s="95"/>
      <c r="C35" s="95"/>
      <c r="D35" s="95"/>
      <c r="E35" s="95"/>
      <c r="F35" s="95"/>
      <c r="G35" s="95"/>
      <c r="H35" s="95"/>
      <c r="I35" s="95"/>
      <c r="J35" s="95"/>
      <c r="K35" s="95"/>
      <c r="L35" s="493"/>
      <c r="M35" s="95"/>
      <c r="N35" s="95"/>
      <c r="O35" s="95"/>
      <c r="P35" s="139"/>
      <c r="Q35" s="139"/>
      <c r="S35" s="470" t="s">
        <v>437</v>
      </c>
      <c r="T35" s="470"/>
      <c r="U35" s="471"/>
      <c r="V35" s="474" t="str">
        <f aca="false">IF(TITLE_DATE_PR_CHANGE="",IF(TITLE_DATE_PR="","",TITLE_DATE_PR),TITLE_DATE_PR_CHANGE)</f>
        <v>45279.46460648148</v>
      </c>
      <c r="W35" s="474"/>
      <c r="X35" s="474"/>
      <c r="Y35" s="474"/>
      <c r="Z35" s="474"/>
      <c r="AA35" s="42"/>
      <c r="AB35" s="42"/>
      <c r="AC35" s="474"/>
      <c r="AD35" s="474"/>
      <c r="AE35" s="474"/>
      <c r="AF35" s="474"/>
      <c r="AG35" s="474"/>
      <c r="AH35" s="474"/>
      <c r="AI35" s="42"/>
      <c r="AJ35" s="42"/>
      <c r="AK35" s="473"/>
      <c r="AL35" s="117"/>
      <c r="AM35" s="117"/>
      <c r="AN35" s="117"/>
      <c r="AO35" s="117"/>
      <c r="AP35" s="117"/>
    </row>
    <row r="36" s="174" customFormat="true" ht="18" hidden="true" customHeight="true" outlineLevel="0" collapsed="false">
      <c r="A36" s="95"/>
      <c r="B36" s="95"/>
      <c r="C36" s="95"/>
      <c r="D36" s="95"/>
      <c r="E36" s="95"/>
      <c r="F36" s="95"/>
      <c r="G36" s="95"/>
      <c r="H36" s="95"/>
      <c r="I36" s="95"/>
      <c r="J36" s="95"/>
      <c r="K36" s="95"/>
      <c r="L36" s="493"/>
      <c r="M36" s="95"/>
      <c r="N36" s="95"/>
      <c r="O36" s="95"/>
      <c r="P36" s="139"/>
      <c r="Q36" s="139"/>
      <c r="S36" s="470" t="s">
        <v>438</v>
      </c>
      <c r="T36" s="470"/>
      <c r="U36" s="471"/>
      <c r="V36" s="472" t="str">
        <f aca="false">IF(TITLE_NUMBER_PR_CHANGE="",IF(TITLE_NUMBER_PR="","",TITLE_NUMBER_PR),TITLE_NUMBER_PR_CHANGE)</f>
        <v>403-гвс, 404-гвс, 406-гвс</v>
      </c>
      <c r="W36" s="472"/>
      <c r="X36" s="472"/>
      <c r="Y36" s="472"/>
      <c r="Z36" s="472"/>
      <c r="AA36" s="42"/>
      <c r="AB36" s="42"/>
      <c r="AC36" s="472"/>
      <c r="AD36" s="472"/>
      <c r="AE36" s="472"/>
      <c r="AF36" s="472"/>
      <c r="AG36" s="472"/>
      <c r="AH36" s="472"/>
      <c r="AI36" s="42"/>
      <c r="AJ36" s="42"/>
      <c r="AK36" s="473"/>
      <c r="AL36" s="117"/>
      <c r="AM36" s="117"/>
      <c r="AN36" s="117"/>
      <c r="AO36" s="117"/>
      <c r="AP36" s="117"/>
    </row>
    <row r="37" s="174" customFormat="true" ht="0.75" hidden="false" customHeight="true" outlineLevel="0" collapsed="false">
      <c r="A37" s="95"/>
      <c r="B37" s="95"/>
      <c r="C37" s="95"/>
      <c r="D37" s="95"/>
      <c r="E37" s="95"/>
      <c r="F37" s="95"/>
      <c r="G37" s="95"/>
      <c r="H37" s="95"/>
      <c r="I37" s="95"/>
      <c r="J37" s="95"/>
      <c r="K37" s="95"/>
      <c r="L37" s="493"/>
      <c r="M37" s="95"/>
      <c r="N37" s="95"/>
      <c r="O37" s="95"/>
      <c r="P37" s="139"/>
      <c r="Q37" s="139"/>
      <c r="S37" s="42"/>
      <c r="T37" s="42"/>
      <c r="U37" s="127"/>
      <c r="V37" s="42"/>
      <c r="W37" s="42"/>
      <c r="X37" s="42"/>
      <c r="Y37" s="42"/>
      <c r="Z37" s="42"/>
      <c r="AA37" s="47" t="s">
        <v>441</v>
      </c>
      <c r="AB37" s="47"/>
      <c r="AC37" s="42"/>
      <c r="AD37" s="42"/>
      <c r="AE37" s="42"/>
      <c r="AF37" s="42"/>
      <c r="AG37" s="42"/>
      <c r="AH37" s="42"/>
      <c r="AI37" s="47" t="s">
        <v>441</v>
      </c>
      <c r="AL37" s="117"/>
      <c r="AM37" s="117"/>
      <c r="AN37" s="117"/>
      <c r="AO37" s="117"/>
      <c r="AP37" s="117"/>
    </row>
    <row r="38" customFormat="false" ht="14.25" hidden="false" customHeight="true" outlineLevel="0" collapsed="false">
      <c r="Q38" s="551"/>
      <c r="R38" s="467"/>
      <c r="S38" s="468"/>
      <c r="T38" s="79"/>
      <c r="U38" s="475"/>
      <c r="V38" s="476"/>
      <c r="W38" s="476"/>
      <c r="X38" s="476"/>
      <c r="Y38" s="476"/>
      <c r="Z38" s="476"/>
      <c r="AA38" s="476"/>
      <c r="AB38" s="476"/>
      <c r="AC38" s="476"/>
      <c r="AD38" s="476"/>
      <c r="AE38" s="476"/>
      <c r="AF38" s="476"/>
      <c r="AG38" s="476"/>
      <c r="AH38" s="476"/>
      <c r="AI38" s="476"/>
    </row>
    <row r="39" customFormat="false" ht="14.25" hidden="false" customHeight="true" outlineLevel="0" collapsed="false">
      <c r="Q39" s="551"/>
      <c r="R39" s="467"/>
      <c r="S39" s="133" t="s">
        <v>316</v>
      </c>
      <c r="T39" s="133"/>
      <c r="U39" s="133"/>
      <c r="V39" s="133"/>
      <c r="W39" s="133"/>
      <c r="X39" s="133"/>
      <c r="Y39" s="133"/>
      <c r="Z39" s="133"/>
      <c r="AA39" s="133"/>
      <c r="AB39" s="133"/>
      <c r="AC39" s="133"/>
      <c r="AD39" s="133"/>
      <c r="AE39" s="133"/>
      <c r="AF39" s="133"/>
      <c r="AG39" s="133"/>
      <c r="AH39" s="133"/>
      <c r="AI39" s="133"/>
      <c r="AJ39" s="133"/>
      <c r="AK39" s="133" t="s">
        <v>317</v>
      </c>
    </row>
    <row r="40" customFormat="false" ht="14.25" hidden="false" customHeight="true" outlineLevel="0" collapsed="false">
      <c r="Q40" s="551"/>
      <c r="R40" s="467"/>
      <c r="S40" s="419" t="s">
        <v>84</v>
      </c>
      <c r="T40" s="394" t="s">
        <v>513</v>
      </c>
      <c r="U40" s="478"/>
      <c r="V40" s="573"/>
      <c r="W40" s="573"/>
      <c r="X40" s="573"/>
      <c r="Y40" s="573"/>
      <c r="Z40" s="573"/>
      <c r="AA40" s="394" t="s">
        <v>444</v>
      </c>
      <c r="AB40" s="300" t="s">
        <v>514</v>
      </c>
      <c r="AC40" s="300" t="s">
        <v>487</v>
      </c>
      <c r="AD40" s="574" t="s">
        <v>443</v>
      </c>
      <c r="AE40" s="574"/>
      <c r="AF40" s="574"/>
      <c r="AG40" s="574"/>
      <c r="AH40" s="574"/>
      <c r="AI40" s="394" t="s">
        <v>444</v>
      </c>
      <c r="AJ40" s="479" t="s">
        <v>446</v>
      </c>
      <c r="AK40" s="133"/>
    </row>
    <row r="41" customFormat="false" ht="33.75" hidden="false" customHeight="true" outlineLevel="0" collapsed="false">
      <c r="Q41" s="551"/>
      <c r="R41" s="467"/>
      <c r="S41" s="419"/>
      <c r="T41" s="394"/>
      <c r="U41" s="480"/>
      <c r="V41" s="133" t="s">
        <v>490</v>
      </c>
      <c r="W41" s="133"/>
      <c r="X41" s="269" t="s">
        <v>450</v>
      </c>
      <c r="Y41" s="269"/>
      <c r="Z41" s="269"/>
      <c r="AA41" s="394"/>
      <c r="AB41" s="300"/>
      <c r="AC41" s="300"/>
      <c r="AD41" s="501" t="s">
        <v>491</v>
      </c>
      <c r="AE41" s="501"/>
      <c r="AF41" s="501" t="s">
        <v>450</v>
      </c>
      <c r="AG41" s="501"/>
      <c r="AH41" s="501"/>
      <c r="AI41" s="394"/>
      <c r="AJ41" s="479"/>
      <c r="AK41" s="133"/>
    </row>
    <row r="42" customFormat="false" ht="14.25" hidden="false" customHeight="true" outlineLevel="0" collapsed="false">
      <c r="Q42" s="551"/>
      <c r="R42" s="467"/>
      <c r="S42" s="419"/>
      <c r="T42" s="394"/>
      <c r="U42" s="480"/>
      <c r="V42" s="133"/>
      <c r="W42" s="133"/>
      <c r="X42" s="269"/>
      <c r="Y42" s="269"/>
      <c r="Z42" s="269"/>
      <c r="AA42" s="394"/>
      <c r="AB42" s="300"/>
      <c r="AC42" s="300"/>
      <c r="AD42" s="575"/>
      <c r="AE42" s="575"/>
      <c r="AF42" s="501"/>
      <c r="AG42" s="501"/>
      <c r="AH42" s="501"/>
      <c r="AI42" s="394"/>
      <c r="AJ42" s="479"/>
      <c r="AK42" s="133"/>
    </row>
    <row r="43" customFormat="false" ht="14.25" hidden="false" customHeight="true" outlineLevel="0" collapsed="false">
      <c r="A43" s="95"/>
      <c r="B43" s="95" t="s">
        <v>142</v>
      </c>
      <c r="C43" s="95" t="s">
        <v>143</v>
      </c>
      <c r="D43" s="95" t="s">
        <v>144</v>
      </c>
      <c r="E43" s="493" t="s">
        <v>451</v>
      </c>
      <c r="F43" s="493" t="s">
        <v>452</v>
      </c>
      <c r="G43" s="493" t="s">
        <v>453</v>
      </c>
      <c r="H43" s="493" t="s">
        <v>454</v>
      </c>
      <c r="I43" s="493" t="s">
        <v>455</v>
      </c>
      <c r="J43" s="493" t="s">
        <v>456</v>
      </c>
      <c r="K43" s="493" t="s">
        <v>457</v>
      </c>
      <c r="L43" s="493" t="s">
        <v>432</v>
      </c>
      <c r="Q43" s="551"/>
      <c r="R43" s="467"/>
      <c r="S43" s="419"/>
      <c r="T43" s="394"/>
      <c r="U43" s="481"/>
      <c r="V43" s="394" t="s">
        <v>492</v>
      </c>
      <c r="W43" s="394" t="s">
        <v>493</v>
      </c>
      <c r="X43" s="184" t="s">
        <v>460</v>
      </c>
      <c r="Y43" s="360" t="s">
        <v>461</v>
      </c>
      <c r="Z43" s="360"/>
      <c r="AA43" s="394"/>
      <c r="AB43" s="300"/>
      <c r="AC43" s="300"/>
      <c r="AD43" s="576" t="s">
        <v>492</v>
      </c>
      <c r="AE43" s="556" t="s">
        <v>493</v>
      </c>
      <c r="AF43" s="184" t="s">
        <v>460</v>
      </c>
      <c r="AG43" s="184" t="s">
        <v>461</v>
      </c>
      <c r="AH43" s="184"/>
      <c r="AI43" s="394"/>
      <c r="AJ43" s="479"/>
      <c r="AK43" s="133"/>
    </row>
    <row r="44" s="119" customFormat="true" ht="11.25" hidden="true" customHeight="true" outlineLevel="0" collapsed="false">
      <c r="A44" s="95"/>
      <c r="B44" s="95"/>
      <c r="C44" s="95"/>
      <c r="D44" s="95"/>
      <c r="E44" s="95"/>
      <c r="F44" s="95"/>
      <c r="G44" s="95"/>
      <c r="H44" s="95"/>
      <c r="I44" s="95"/>
      <c r="J44" s="95"/>
      <c r="K44" s="95"/>
      <c r="L44" s="493"/>
      <c r="M44" s="50"/>
      <c r="N44" s="50"/>
      <c r="O44" s="50"/>
      <c r="P44" s="510"/>
      <c r="Q44" s="484"/>
      <c r="R44" s="484" t="n">
        <v>1</v>
      </c>
      <c r="S44" s="485" t="s">
        <v>117</v>
      </c>
      <c r="T44" s="486" t="s">
        <v>99</v>
      </c>
      <c r="U44" s="487" t="str">
        <f aca="true">OFFSET(U44,0,-1)</f>
        <v>2</v>
      </c>
      <c r="V44" s="488" t="n">
        <f aca="true">OFFSET(V44,0,-1)+1</f>
        <v>3</v>
      </c>
      <c r="W44" s="488" t="n">
        <f aca="true">OFFSET(W44,0,-1)+1</f>
        <v>4</v>
      </c>
      <c r="X44" s="488" t="n">
        <f aca="true">OFFSET(X44,0,-1)+1</f>
        <v>5</v>
      </c>
      <c r="Y44" s="488" t="n">
        <f aca="true">OFFSET(Y44,0,-1)+1</f>
        <v>6</v>
      </c>
      <c r="Z44" s="488"/>
      <c r="AA44" s="367" t="n">
        <f aca="true">OFFSET(AA44,0,-2)+1</f>
        <v>7</v>
      </c>
      <c r="AB44" s="367"/>
      <c r="AC44" s="367"/>
      <c r="AD44" s="488" t="n">
        <f aca="true">OFFSET(AD44,0,-1)+1</f>
        <v>1</v>
      </c>
      <c r="AE44" s="488" t="n">
        <f aca="true">OFFSET(AE44,0,-1)+1</f>
        <v>2</v>
      </c>
      <c r="AF44" s="488" t="n">
        <f aca="true">OFFSET(AF44,0,-1)+1</f>
        <v>3</v>
      </c>
      <c r="AG44" s="488" t="n">
        <f aca="true">OFFSET(AG44,0,-1)+1</f>
        <v>4</v>
      </c>
      <c r="AH44" s="488"/>
      <c r="AI44" s="488" t="n">
        <f aca="true">OFFSET(AI44,0,-2)+1</f>
        <v>5</v>
      </c>
      <c r="AJ44" s="487" t="n">
        <f aca="true">OFFSET(AJ44,0,-1)</f>
        <v>5</v>
      </c>
      <c r="AK44" s="488" t="n">
        <f aca="true">OFFSET(AK44,0,-1)+1</f>
        <v>6</v>
      </c>
      <c r="AL44" s="47"/>
      <c r="AM44" s="47"/>
      <c r="AN44" s="47"/>
      <c r="AO44" s="47"/>
      <c r="AP44" s="47"/>
    </row>
    <row r="45" customFormat="false" ht="102" hidden="false" customHeight="true" outlineLevel="0" collapsed="false">
      <c r="A45" s="233" t="s">
        <v>211</v>
      </c>
      <c r="B45" s="233"/>
      <c r="C45" s="233"/>
      <c r="D45" s="233"/>
      <c r="E45" s="492" t="n">
        <v>1</v>
      </c>
      <c r="F45" s="233"/>
      <c r="G45" s="233"/>
      <c r="H45" s="233"/>
      <c r="I45" s="233"/>
      <c r="J45" s="233"/>
      <c r="K45" s="233"/>
      <c r="L45" s="493"/>
      <c r="M45" s="75"/>
      <c r="N45" s="75"/>
      <c r="O45" s="75"/>
      <c r="Q45" s="54"/>
      <c r="R45" s="418"/>
      <c r="S45" s="419" t="n">
        <f aca="false">INDEX(PT_DIFFERENTIATION_NUM_NTAR,MATCH(A45,PT_DIFFERENTIATION_NTAR_ID,0))</f>
        <v>0</v>
      </c>
      <c r="T45" s="420" t="s">
        <v>130</v>
      </c>
      <c r="U45" s="421"/>
      <c r="V45" s="523"/>
      <c r="W45" s="523"/>
      <c r="X45" s="523"/>
      <c r="Y45" s="523"/>
      <c r="Z45" s="523"/>
      <c r="AA45" s="523"/>
      <c r="AB45" s="569"/>
      <c r="AC45" s="523"/>
      <c r="AD45" s="523"/>
      <c r="AE45" s="523"/>
      <c r="AF45" s="523"/>
      <c r="AG45" s="523"/>
      <c r="AH45" s="523"/>
      <c r="AI45" s="523"/>
      <c r="AJ45" s="523"/>
      <c r="AK45" s="424"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17"/>
      <c r="AN45" s="117" t="str">
        <f aca="false">IF(T45="","",T45)</f>
        <v>Наименование тарифа</v>
      </c>
      <c r="AO45" s="117"/>
      <c r="AP45" s="117"/>
    </row>
    <row r="46" customFormat="false" ht="21" hidden="false" customHeight="true" outlineLevel="0" collapsed="false">
      <c r="A46" s="233" t="s">
        <v>211</v>
      </c>
      <c r="B46" s="233" t="s">
        <v>212</v>
      </c>
      <c r="C46" s="233"/>
      <c r="D46" s="233"/>
      <c r="E46" s="492"/>
      <c r="F46" s="492" t="n">
        <v>1</v>
      </c>
      <c r="G46" s="233"/>
      <c r="H46" s="233"/>
      <c r="I46" s="233"/>
      <c r="J46" s="233"/>
      <c r="K46" s="233"/>
      <c r="L46" s="493"/>
      <c r="M46" s="75"/>
      <c r="N46" s="75"/>
      <c r="O46" s="75"/>
      <c r="P46" s="44"/>
      <c r="Q46" s="524"/>
      <c r="R46" s="426"/>
      <c r="S46" s="419" t="str">
        <f aca="false">INDEX(PT_DIFFERENTIATION_NUM_TER,MATCH(B46,PT_DIFFERENTIATION_TER_ID,0))</f>
        <v>.</v>
      </c>
      <c r="T46" s="427" t="s">
        <v>413</v>
      </c>
      <c r="U46" s="421"/>
      <c r="V46" s="523"/>
      <c r="W46" s="523"/>
      <c r="X46" s="523"/>
      <c r="Y46" s="523"/>
      <c r="Z46" s="523"/>
      <c r="AA46" s="523"/>
      <c r="AB46" s="569"/>
      <c r="AC46" s="523"/>
      <c r="AD46" s="523"/>
      <c r="AE46" s="523"/>
      <c r="AF46" s="523"/>
      <c r="AG46" s="523"/>
      <c r="AH46" s="523"/>
      <c r="AI46" s="523"/>
      <c r="AJ46" s="523"/>
      <c r="AK46" s="424" t="s">
        <v>414</v>
      </c>
      <c r="AM46" s="117"/>
      <c r="AN46" s="117" t="str">
        <f aca="false">IF(T46="","",T46)</f>
        <v>Территория действия тарифа</v>
      </c>
      <c r="AO46" s="117"/>
      <c r="AP46" s="117"/>
    </row>
    <row r="47" customFormat="false" ht="23.25" hidden="false" customHeight="true" outlineLevel="0" collapsed="false">
      <c r="A47" s="233" t="s">
        <v>211</v>
      </c>
      <c r="B47" s="233" t="s">
        <v>212</v>
      </c>
      <c r="C47" s="233" t="s">
        <v>213</v>
      </c>
      <c r="D47" s="233"/>
      <c r="E47" s="492"/>
      <c r="F47" s="492"/>
      <c r="G47" s="492" t="n">
        <v>1</v>
      </c>
      <c r="H47" s="233"/>
      <c r="I47" s="233"/>
      <c r="J47" s="233"/>
      <c r="K47" s="233"/>
      <c r="L47" s="493"/>
      <c r="M47" s="75"/>
      <c r="N47" s="75"/>
      <c r="O47" s="75"/>
      <c r="P47" s="126"/>
      <c r="Q47" s="524"/>
      <c r="R47" s="426"/>
      <c r="S47" s="419" t="str">
        <f aca="false">INDEX(PT_DIFFERENTIATION_NUM_CS,MATCH(C47,PT_DIFFERENTIATION_CS_ID,0))</f>
        <v>..</v>
      </c>
      <c r="T47" s="429" t="s">
        <v>415</v>
      </c>
      <c r="U47" s="421"/>
      <c r="V47" s="523"/>
      <c r="W47" s="523"/>
      <c r="X47" s="523"/>
      <c r="Y47" s="523"/>
      <c r="Z47" s="523"/>
      <c r="AA47" s="523"/>
      <c r="AB47" s="569"/>
      <c r="AC47" s="523"/>
      <c r="AD47" s="523"/>
      <c r="AE47" s="523"/>
      <c r="AF47" s="523"/>
      <c r="AG47" s="523"/>
      <c r="AH47" s="523"/>
      <c r="AI47" s="523"/>
      <c r="AJ47" s="523"/>
      <c r="AK47" s="424" t="s">
        <v>416</v>
      </c>
      <c r="AM47" s="117"/>
      <c r="AN47" s="117" t="str">
        <f aca="false">IF(T47="","",T47)</f>
        <v>Наименование системы теплоснабжения</v>
      </c>
      <c r="AO47" s="117"/>
      <c r="AP47" s="117"/>
    </row>
    <row r="48" customFormat="false" ht="21" hidden="false" customHeight="true" outlineLevel="0" collapsed="false">
      <c r="A48" s="233" t="s">
        <v>211</v>
      </c>
      <c r="B48" s="233" t="s">
        <v>212</v>
      </c>
      <c r="C48" s="233" t="s">
        <v>213</v>
      </c>
      <c r="D48" s="233" t="s">
        <v>214</v>
      </c>
      <c r="E48" s="492"/>
      <c r="F48" s="492"/>
      <c r="G48" s="492"/>
      <c r="H48" s="492" t="n">
        <v>1</v>
      </c>
      <c r="I48" s="233"/>
      <c r="J48" s="233"/>
      <c r="K48" s="233"/>
      <c r="L48" s="493"/>
      <c r="M48" s="75"/>
      <c r="N48" s="75"/>
      <c r="O48" s="75"/>
      <c r="P48" s="126"/>
      <c r="Q48" s="524"/>
      <c r="R48" s="426"/>
      <c r="S48" s="419" t="str">
        <f aca="false">INDEX(PT_DIFFERENTIATION_NUM_IST_TE,MATCH(D48,PT_DIFFERENTIATION_IST_TE_ID,0))</f>
        <v>...</v>
      </c>
      <c r="T48" s="430" t="s">
        <v>417</v>
      </c>
      <c r="U48" s="421"/>
      <c r="V48" s="523"/>
      <c r="W48" s="523"/>
      <c r="X48" s="523"/>
      <c r="Y48" s="523"/>
      <c r="Z48" s="523"/>
      <c r="AA48" s="523"/>
      <c r="AB48" s="569"/>
      <c r="AC48" s="523"/>
      <c r="AD48" s="523"/>
      <c r="AE48" s="523"/>
      <c r="AF48" s="523"/>
      <c r="AG48" s="523"/>
      <c r="AH48" s="523"/>
      <c r="AI48" s="523"/>
      <c r="AJ48" s="523"/>
      <c r="AK48" s="424" t="s">
        <v>418</v>
      </c>
      <c r="AM48" s="117"/>
      <c r="AN48" s="117" t="str">
        <f aca="false">IF(T48="","",T48)</f>
        <v>Источник тепловой энергии</v>
      </c>
      <c r="AO48" s="117"/>
      <c r="AP48" s="117"/>
    </row>
    <row r="49" s="47" customFormat="true" ht="12.8" hidden="false" customHeight="false" outlineLevel="0" collapsed="false">
      <c r="A49" s="494" t="s">
        <v>211</v>
      </c>
      <c r="B49" s="494" t="s">
        <v>212</v>
      </c>
      <c r="C49" s="494" t="s">
        <v>213</v>
      </c>
      <c r="D49" s="494" t="s">
        <v>214</v>
      </c>
      <c r="E49" s="492"/>
      <c r="F49" s="492"/>
      <c r="G49" s="492"/>
      <c r="H49" s="492"/>
      <c r="I49" s="133" t="str">
        <f aca="false">S48&amp;".1"</f>
        <v>....1</v>
      </c>
      <c r="J49" s="494"/>
      <c r="K49" s="494"/>
      <c r="L49" s="495" t="s">
        <v>419</v>
      </c>
      <c r="M49" s="482"/>
      <c r="N49" s="482"/>
      <c r="O49" s="482"/>
      <c r="P49" s="120" t="n">
        <v>1</v>
      </c>
      <c r="Q49" s="120"/>
      <c r="R49" s="432"/>
      <c r="S49" s="305"/>
      <c r="T49" s="502"/>
      <c r="U49" s="503"/>
      <c r="V49" s="525"/>
      <c r="W49" s="525"/>
      <c r="X49" s="525"/>
      <c r="Y49" s="525"/>
      <c r="Z49" s="525"/>
      <c r="AA49" s="525"/>
      <c r="AB49" s="570"/>
      <c r="AC49" s="525"/>
      <c r="AD49" s="525"/>
      <c r="AE49" s="525"/>
      <c r="AF49" s="525"/>
      <c r="AG49" s="525"/>
      <c r="AH49" s="525"/>
      <c r="AI49" s="525"/>
      <c r="AJ49" s="525"/>
      <c r="AK49" s="505"/>
      <c r="AM49" s="117"/>
      <c r="AN49" s="117" t="str">
        <f aca="false">IF(T49="","",T49)</f>
        <v/>
      </c>
      <c r="AO49" s="117"/>
      <c r="AP49" s="117"/>
    </row>
    <row r="50" s="47" customFormat="true" ht="12.8" hidden="false" customHeight="false" outlineLevel="0" collapsed="false">
      <c r="A50" s="494" t="s">
        <v>211</v>
      </c>
      <c r="B50" s="494" t="s">
        <v>212</v>
      </c>
      <c r="C50" s="494" t="s">
        <v>213</v>
      </c>
      <c r="D50" s="494" t="s">
        <v>214</v>
      </c>
      <c r="E50" s="492"/>
      <c r="F50" s="492"/>
      <c r="G50" s="492"/>
      <c r="H50" s="492"/>
      <c r="I50" s="133"/>
      <c r="J50" s="145" t="str">
        <f aca="false">S48&amp;".1"</f>
        <v>....1</v>
      </c>
      <c r="K50" s="494"/>
      <c r="L50" s="495"/>
      <c r="M50" s="482"/>
      <c r="N50" s="482"/>
      <c r="O50" s="482"/>
      <c r="P50" s="120"/>
      <c r="Q50" s="120" t="n">
        <v>1</v>
      </c>
      <c r="R50" s="435"/>
      <c r="S50" s="305"/>
      <c r="T50" s="526"/>
      <c r="U50" s="503"/>
      <c r="V50" s="525"/>
      <c r="W50" s="525"/>
      <c r="X50" s="525"/>
      <c r="Y50" s="525"/>
      <c r="Z50" s="525"/>
      <c r="AA50" s="525"/>
      <c r="AB50" s="570"/>
      <c r="AC50" s="525"/>
      <c r="AD50" s="525"/>
      <c r="AE50" s="525"/>
      <c r="AF50" s="525"/>
      <c r="AG50" s="525"/>
      <c r="AH50" s="525"/>
      <c r="AI50" s="525"/>
      <c r="AJ50" s="525"/>
      <c r="AK50" s="505"/>
      <c r="AM50" s="117"/>
      <c r="AN50" s="117" t="str">
        <f aca="false">IF(T50="","",T50)</f>
        <v/>
      </c>
      <c r="AO50" s="117"/>
      <c r="AP50" s="117"/>
    </row>
    <row r="51" customFormat="false" ht="21" hidden="false" customHeight="true" outlineLevel="0" collapsed="false">
      <c r="A51" s="233" t="s">
        <v>211</v>
      </c>
      <c r="B51" s="233" t="s">
        <v>212</v>
      </c>
      <c r="C51" s="233" t="s">
        <v>213</v>
      </c>
      <c r="D51" s="233" t="s">
        <v>214</v>
      </c>
      <c r="E51" s="492"/>
      <c r="F51" s="492"/>
      <c r="G51" s="492"/>
      <c r="H51" s="492"/>
      <c r="I51" s="133"/>
      <c r="J51" s="133"/>
      <c r="K51" s="145" t="str">
        <f aca="false">S48&amp;".1"</f>
        <v>....1</v>
      </c>
      <c r="L51" s="493"/>
      <c r="P51" s="120"/>
      <c r="Q51" s="120"/>
      <c r="R51" s="435" t="n">
        <v>1</v>
      </c>
      <c r="S51" s="577" t="str">
        <f aca="false">$K51</f>
        <v>....1</v>
      </c>
      <c r="T51" s="578"/>
      <c r="U51" s="421"/>
      <c r="V51" s="438"/>
      <c r="W51" s="440"/>
      <c r="X51" s="441"/>
      <c r="Y51" s="203" t="s">
        <v>63</v>
      </c>
      <c r="Z51" s="441"/>
      <c r="AA51" s="203" t="s">
        <v>63</v>
      </c>
      <c r="AB51" s="579"/>
      <c r="AC51" s="580"/>
      <c r="AD51" s="438"/>
      <c r="AE51" s="440"/>
      <c r="AF51" s="441"/>
      <c r="AG51" s="203" t="s">
        <v>63</v>
      </c>
      <c r="AH51" s="441"/>
      <c r="AI51" s="203" t="s">
        <v>63</v>
      </c>
      <c r="AJ51" s="489"/>
      <c r="AK51" s="564" t="s">
        <v>494</v>
      </c>
      <c r="AL51" s="47" t="e">
        <f aca="false">strcheckdate(#REF!)</f>
        <v>#REF!</v>
      </c>
      <c r="AM51" s="117"/>
      <c r="AN51" s="117" t="str">
        <f aca="false">IF(T51="","",T51)</f>
        <v/>
      </c>
      <c r="AO51" s="117"/>
      <c r="AP51" s="117"/>
    </row>
    <row r="52" customFormat="false" ht="11.25" hidden="false" customHeight="true" outlineLevel="0" collapsed="false">
      <c r="A52" s="233" t="s">
        <v>211</v>
      </c>
      <c r="B52" s="233" t="s">
        <v>212</v>
      </c>
      <c r="C52" s="233" t="s">
        <v>213</v>
      </c>
      <c r="D52" s="233" t="s">
        <v>214</v>
      </c>
      <c r="E52" s="492"/>
      <c r="F52" s="492"/>
      <c r="G52" s="492"/>
      <c r="H52" s="492"/>
      <c r="I52" s="133"/>
      <c r="J52" s="145"/>
      <c r="K52" s="233"/>
      <c r="L52" s="493"/>
      <c r="P52" s="120"/>
      <c r="Q52" s="120"/>
      <c r="R52" s="432"/>
      <c r="S52" s="444"/>
      <c r="T52" s="447" t="s">
        <v>481</v>
      </c>
      <c r="U52" s="193"/>
      <c r="V52" s="193"/>
      <c r="W52" s="193"/>
      <c r="X52" s="193"/>
      <c r="Y52" s="193"/>
      <c r="Z52" s="193"/>
      <c r="AA52" s="446"/>
      <c r="AB52" s="193"/>
      <c r="AC52" s="193"/>
      <c r="AD52" s="193"/>
      <c r="AE52" s="193"/>
      <c r="AF52" s="193"/>
      <c r="AG52" s="193"/>
      <c r="AH52" s="193"/>
      <c r="AI52" s="193"/>
      <c r="AJ52" s="446"/>
      <c r="AK52" s="564"/>
      <c r="AM52" s="117"/>
      <c r="AN52" s="117" t="str">
        <f aca="false">IF(T52="","",T52)</f>
        <v>Добавить строку</v>
      </c>
      <c r="AO52" s="117"/>
      <c r="AP52" s="117"/>
    </row>
    <row r="53" s="47" customFormat="true" ht="5.25" hidden="false" customHeight="true" outlineLevel="0" collapsed="false">
      <c r="A53" s="494" t="s">
        <v>211</v>
      </c>
      <c r="B53" s="494" t="s">
        <v>212</v>
      </c>
      <c r="C53" s="494" t="s">
        <v>213</v>
      </c>
      <c r="D53" s="494" t="s">
        <v>214</v>
      </c>
      <c r="E53" s="492"/>
      <c r="F53" s="492"/>
      <c r="G53" s="492"/>
      <c r="H53" s="492"/>
      <c r="I53" s="133"/>
      <c r="J53" s="494"/>
      <c r="K53" s="494"/>
      <c r="L53" s="495"/>
      <c r="M53" s="482"/>
      <c r="N53" s="482"/>
      <c r="O53" s="482"/>
      <c r="P53" s="120"/>
      <c r="Q53" s="120"/>
      <c r="R53" s="432"/>
      <c r="S53" s="506"/>
      <c r="T53" s="507" t="s">
        <v>428</v>
      </c>
      <c r="U53" s="508"/>
      <c r="V53" s="508"/>
      <c r="W53" s="508"/>
      <c r="X53" s="508"/>
      <c r="Y53" s="508"/>
      <c r="Z53" s="508"/>
      <c r="AA53" s="508"/>
      <c r="AB53" s="508"/>
      <c r="AC53" s="508"/>
      <c r="AD53" s="508"/>
      <c r="AE53" s="508"/>
      <c r="AF53" s="508"/>
      <c r="AG53" s="508"/>
      <c r="AH53" s="508"/>
      <c r="AI53" s="508"/>
      <c r="AJ53" s="508"/>
      <c r="AK53" s="509"/>
      <c r="AM53" s="117"/>
      <c r="AN53" s="117" t="str">
        <f aca="false">IF(T53="","",T53)</f>
        <v>Добавить группу потребителей</v>
      </c>
      <c r="AO53" s="117"/>
      <c r="AP53" s="117"/>
    </row>
    <row r="54" s="119" customFormat="true" ht="5.25" hidden="false" customHeight="true" outlineLevel="0" collapsed="false">
      <c r="A54" s="494" t="s">
        <v>211</v>
      </c>
      <c r="B54" s="494" t="s">
        <v>212</v>
      </c>
      <c r="C54" s="494" t="s">
        <v>213</v>
      </c>
      <c r="D54" s="494" t="s">
        <v>214</v>
      </c>
      <c r="E54" s="492"/>
      <c r="F54" s="492"/>
      <c r="G54" s="492"/>
      <c r="H54" s="492"/>
      <c r="I54" s="494"/>
      <c r="J54" s="494"/>
      <c r="K54" s="494"/>
      <c r="L54" s="495"/>
      <c r="M54" s="496"/>
      <c r="N54" s="496"/>
      <c r="P54" s="155"/>
      <c r="Q54" s="452"/>
      <c r="R54" s="559"/>
      <c r="S54" s="506"/>
      <c r="T54" s="507"/>
      <c r="U54" s="508"/>
      <c r="V54" s="508"/>
      <c r="W54" s="508"/>
      <c r="X54" s="508"/>
      <c r="Y54" s="508"/>
      <c r="Z54" s="508"/>
      <c r="AA54" s="508"/>
      <c r="AB54" s="508"/>
      <c r="AC54" s="508"/>
      <c r="AD54" s="508"/>
      <c r="AE54" s="508"/>
      <c r="AF54" s="508"/>
      <c r="AG54" s="508"/>
      <c r="AH54" s="508"/>
      <c r="AI54" s="508"/>
      <c r="AJ54" s="508"/>
      <c r="AK54" s="509"/>
      <c r="AL54" s="47"/>
      <c r="AM54" s="117"/>
      <c r="AN54" s="117" t="str">
        <f aca="false">IF(T54="","",T54)</f>
        <v/>
      </c>
      <c r="AO54" s="117"/>
      <c r="AP54" s="117"/>
    </row>
    <row r="55" s="47" customFormat="true" ht="5.25" hidden="false" customHeight="true" outlineLevel="0" collapsed="false">
      <c r="A55" s="494" t="s">
        <v>211</v>
      </c>
      <c r="B55" s="494" t="s">
        <v>212</v>
      </c>
      <c r="C55" s="494" t="s">
        <v>213</v>
      </c>
      <c r="D55" s="494"/>
      <c r="E55" s="492"/>
      <c r="F55" s="492"/>
      <c r="G55" s="492"/>
      <c r="H55" s="494"/>
      <c r="I55" s="494"/>
      <c r="J55" s="494"/>
      <c r="K55" s="494"/>
      <c r="L55" s="495"/>
      <c r="M55" s="496"/>
      <c r="N55" s="496"/>
      <c r="O55" s="119"/>
      <c r="P55" s="155"/>
      <c r="Q55" s="452"/>
      <c r="R55" s="155"/>
      <c r="S55" s="457"/>
      <c r="T55" s="460" t="s">
        <v>430</v>
      </c>
      <c r="U55" s="459"/>
      <c r="V55" s="459"/>
      <c r="W55" s="459"/>
      <c r="X55" s="459"/>
      <c r="Y55" s="459"/>
      <c r="Z55" s="459"/>
      <c r="AA55" s="459"/>
      <c r="AB55" s="459"/>
      <c r="AC55" s="459"/>
      <c r="AD55" s="459"/>
      <c r="AE55" s="459"/>
      <c r="AF55" s="459"/>
      <c r="AG55" s="459"/>
      <c r="AH55" s="459"/>
      <c r="AI55" s="459"/>
      <c r="AJ55" s="459"/>
      <c r="AK55" s="459"/>
      <c r="AM55" s="117"/>
      <c r="AN55" s="117" t="str">
        <f aca="false">IF(T55="","",T55)</f>
        <v>Добавить источник для дифференциации</v>
      </c>
      <c r="AO55" s="117"/>
      <c r="AP55" s="117"/>
    </row>
    <row r="56" s="47" customFormat="true" ht="5.25" hidden="false" customHeight="true" outlineLevel="0" collapsed="false">
      <c r="A56" s="494" t="s">
        <v>211</v>
      </c>
      <c r="B56" s="494" t="s">
        <v>212</v>
      </c>
      <c r="C56" s="494"/>
      <c r="D56" s="494"/>
      <c r="E56" s="492"/>
      <c r="F56" s="492"/>
      <c r="G56" s="494"/>
      <c r="H56" s="494"/>
      <c r="I56" s="494"/>
      <c r="J56" s="494"/>
      <c r="K56" s="494"/>
      <c r="L56" s="495"/>
      <c r="M56" s="497"/>
      <c r="N56" s="497"/>
      <c r="O56" s="119"/>
      <c r="P56" s="155"/>
      <c r="Q56" s="452"/>
      <c r="R56" s="155"/>
      <c r="S56" s="457"/>
      <c r="T56" s="460" t="s">
        <v>261</v>
      </c>
      <c r="U56" s="459"/>
      <c r="V56" s="459"/>
      <c r="W56" s="459"/>
      <c r="X56" s="459"/>
      <c r="Y56" s="459"/>
      <c r="Z56" s="459"/>
      <c r="AA56" s="459"/>
      <c r="AB56" s="459"/>
      <c r="AC56" s="459"/>
      <c r="AD56" s="459"/>
      <c r="AE56" s="459"/>
      <c r="AF56" s="459"/>
      <c r="AG56" s="459"/>
      <c r="AH56" s="459"/>
      <c r="AI56" s="459"/>
      <c r="AJ56" s="459"/>
      <c r="AK56" s="459"/>
      <c r="AM56" s="117"/>
      <c r="AN56" s="117" t="str">
        <f aca="false">IF(T56="","",T56)</f>
        <v>Добавить централизованную систему для дифференциации</v>
      </c>
      <c r="AO56" s="117"/>
      <c r="AP56" s="117"/>
    </row>
    <row r="57" s="47" customFormat="true" ht="5.25" hidden="false" customHeight="true" outlineLevel="0" collapsed="false">
      <c r="A57" s="494" t="s">
        <v>211</v>
      </c>
      <c r="B57" s="494"/>
      <c r="C57" s="494"/>
      <c r="D57" s="494"/>
      <c r="E57" s="492"/>
      <c r="F57" s="494"/>
      <c r="G57" s="494"/>
      <c r="H57" s="494"/>
      <c r="I57" s="494"/>
      <c r="J57" s="494"/>
      <c r="K57" s="494"/>
      <c r="L57" s="495"/>
      <c r="M57" s="497"/>
      <c r="N57" s="497"/>
      <c r="O57" s="119"/>
      <c r="P57" s="155"/>
      <c r="Q57" s="452"/>
      <c r="R57" s="155"/>
      <c r="S57" s="457"/>
      <c r="T57" s="460" t="s">
        <v>268</v>
      </c>
      <c r="U57" s="459"/>
      <c r="V57" s="459"/>
      <c r="W57" s="459"/>
      <c r="X57" s="459"/>
      <c r="Y57" s="459"/>
      <c r="Z57" s="459"/>
      <c r="AA57" s="459"/>
      <c r="AB57" s="459"/>
      <c r="AC57" s="459"/>
      <c r="AD57" s="459"/>
      <c r="AE57" s="459"/>
      <c r="AF57" s="459"/>
      <c r="AG57" s="459"/>
      <c r="AH57" s="459"/>
      <c r="AI57" s="459"/>
      <c r="AJ57" s="459"/>
      <c r="AK57" s="459"/>
      <c r="AM57" s="117"/>
      <c r="AN57" s="117" t="str">
        <f aca="false">IF(T57="","",T57)</f>
        <v>Добавить территорию для дифференциации</v>
      </c>
      <c r="AO57" s="117"/>
      <c r="AP57" s="117"/>
    </row>
    <row r="58" s="47" customFormat="true" ht="5.25" hidden="false" customHeight="true" outlineLevel="0" collapsed="false">
      <c r="A58" s="494" t="s">
        <v>211</v>
      </c>
      <c r="B58" s="494"/>
      <c r="C58" s="494"/>
      <c r="D58" s="494"/>
      <c r="E58" s="492"/>
      <c r="F58" s="494"/>
      <c r="G58" s="494"/>
      <c r="H58" s="494"/>
      <c r="I58" s="494"/>
      <c r="J58" s="494"/>
      <c r="K58" s="494"/>
      <c r="L58" s="495"/>
      <c r="M58" s="497"/>
      <c r="N58" s="497"/>
      <c r="O58" s="119"/>
      <c r="P58" s="155"/>
      <c r="Q58" s="452"/>
      <c r="R58" s="155"/>
      <c r="S58" s="457"/>
      <c r="T58" s="460" t="s">
        <v>268</v>
      </c>
      <c r="U58" s="459"/>
      <c r="V58" s="459"/>
      <c r="W58" s="459"/>
      <c r="X58" s="459"/>
      <c r="Y58" s="459"/>
      <c r="Z58" s="459"/>
      <c r="AA58" s="459"/>
      <c r="AB58" s="459"/>
      <c r="AC58" s="459"/>
      <c r="AD58" s="459"/>
      <c r="AE58" s="459"/>
      <c r="AF58" s="459"/>
      <c r="AG58" s="459"/>
      <c r="AH58" s="459"/>
      <c r="AI58" s="459"/>
      <c r="AJ58" s="459"/>
      <c r="AK58" s="459"/>
      <c r="AM58" s="117"/>
      <c r="AN58" s="117" t="str">
        <f aca="false">IF(T58="","",T58)</f>
        <v>Добавить территорию для дифференциации</v>
      </c>
      <c r="AO58" s="117"/>
      <c r="AP58" s="117"/>
    </row>
    <row r="59" s="47" customFormat="true" ht="5.25" hidden="false" customHeight="true" outlineLevel="0" collapsed="false">
      <c r="A59" s="494"/>
      <c r="B59" s="494"/>
      <c r="C59" s="494"/>
      <c r="D59" s="494"/>
      <c r="E59" s="494"/>
      <c r="F59" s="494"/>
      <c r="G59" s="494"/>
      <c r="H59" s="494"/>
      <c r="I59" s="494"/>
      <c r="J59" s="494"/>
      <c r="K59" s="494"/>
      <c r="L59" s="495"/>
      <c r="M59" s="497"/>
      <c r="N59" s="497"/>
      <c r="O59" s="119"/>
      <c r="P59" s="155"/>
      <c r="Q59" s="452"/>
      <c r="R59" s="155"/>
      <c r="S59" s="457"/>
      <c r="T59" s="460" t="s">
        <v>269</v>
      </c>
      <c r="U59" s="459"/>
      <c r="V59" s="459"/>
      <c r="W59" s="459"/>
      <c r="X59" s="459"/>
      <c r="Y59" s="459"/>
      <c r="Z59" s="459"/>
      <c r="AA59" s="459"/>
      <c r="AB59" s="459"/>
      <c r="AC59" s="459"/>
      <c r="AD59" s="459"/>
      <c r="AE59" s="459"/>
      <c r="AF59" s="459"/>
      <c r="AG59" s="459"/>
      <c r="AH59" s="459"/>
      <c r="AI59" s="459"/>
      <c r="AJ59" s="459"/>
      <c r="AK59" s="459"/>
      <c r="AM59" s="117"/>
      <c r="AN59" s="117" t="str">
        <f aca="false">IF(T59="","",T59)</f>
        <v>Добавить наименование тарифа</v>
      </c>
      <c r="AO59" s="117"/>
      <c r="AP59" s="117"/>
    </row>
    <row r="60" customFormat="false" ht="11.25" hidden="false" customHeight="true" outlineLevel="0" collapsed="false">
      <c r="M60" s="42"/>
      <c r="N60" s="42"/>
      <c r="O60" s="42"/>
      <c r="P60" s="45"/>
      <c r="Q60" s="45"/>
      <c r="R60" s="42"/>
      <c r="S60" s="42"/>
      <c r="AL60" s="42"/>
      <c r="AM60" s="42"/>
      <c r="AN60" s="42"/>
      <c r="AO60" s="42"/>
      <c r="AP60" s="42"/>
    </row>
    <row r="61" customFormat="false" ht="18.75" hidden="false" customHeight="true" outlineLevel="0" collapsed="false">
      <c r="O61" s="42"/>
      <c r="S61" s="412"/>
      <c r="T61" s="491"/>
      <c r="U61" s="491"/>
      <c r="V61" s="491"/>
      <c r="W61" s="491"/>
      <c r="X61" s="491"/>
      <c r="Y61" s="491"/>
      <c r="Z61" s="491"/>
      <c r="AA61" s="491"/>
      <c r="AB61" s="491"/>
      <c r="AC61" s="491"/>
      <c r="AD61" s="491"/>
      <c r="AE61" s="491"/>
      <c r="AF61" s="491"/>
      <c r="AG61" s="491"/>
      <c r="AH61" s="491"/>
      <c r="AI61" s="491"/>
      <c r="AJ61" s="491"/>
      <c r="AK61" s="491"/>
    </row>
    <row r="62" customFormat="false" ht="19.5" hidden="false" customHeight="true" outlineLevel="0" collapsed="false">
      <c r="O62" s="42"/>
      <c r="T62" s="491"/>
      <c r="U62" s="491"/>
      <c r="V62" s="491"/>
      <c r="W62" s="491"/>
      <c r="X62" s="491"/>
      <c r="Y62" s="491"/>
      <c r="Z62" s="491"/>
      <c r="AA62" s="491"/>
      <c r="AB62" s="491"/>
      <c r="AC62" s="491"/>
      <c r="AD62" s="491"/>
      <c r="AE62" s="491"/>
      <c r="AF62" s="491"/>
      <c r="AG62" s="491"/>
      <c r="AH62" s="491"/>
      <c r="AI62" s="491"/>
      <c r="AJ62" s="491"/>
      <c r="AK62" s="491"/>
    </row>
    <row r="63" customFormat="false" ht="14.25" hidden="false" customHeight="true" outlineLevel="0" collapsed="false">
      <c r="O63" s="42"/>
      <c r="T63" s="491"/>
      <c r="U63" s="491"/>
      <c r="V63" s="491"/>
      <c r="W63" s="491"/>
      <c r="X63" s="491"/>
      <c r="Y63" s="491"/>
      <c r="Z63" s="491"/>
      <c r="AA63" s="491"/>
      <c r="AB63" s="491"/>
      <c r="AC63" s="491"/>
      <c r="AD63" s="491"/>
      <c r="AE63" s="491"/>
      <c r="AF63" s="491"/>
      <c r="AG63" s="491"/>
      <c r="AH63" s="491"/>
      <c r="AI63" s="491"/>
      <c r="AJ63" s="491"/>
      <c r="AK63" s="491"/>
    </row>
    <row r="64" customFormat="false" ht="18.75" hidden="false" customHeight="true" outlineLevel="0" collapsed="false">
      <c r="O64" s="42"/>
      <c r="T64" s="491"/>
      <c r="U64" s="491"/>
      <c r="V64" s="491"/>
      <c r="W64" s="491"/>
      <c r="X64" s="491"/>
      <c r="Y64" s="491"/>
      <c r="Z64" s="491"/>
      <c r="AA64" s="491"/>
      <c r="AB64" s="491"/>
      <c r="AC64" s="491"/>
      <c r="AD64" s="491"/>
      <c r="AE64" s="491"/>
      <c r="AF64" s="491"/>
      <c r="AG64" s="491"/>
      <c r="AH64" s="491"/>
      <c r="AI64" s="491"/>
      <c r="AJ64" s="491"/>
      <c r="AK64" s="491"/>
    </row>
    <row r="65" customFormat="false" ht="15.75" hidden="false" customHeight="true" outlineLevel="0" collapsed="false">
      <c r="O65" s="42"/>
      <c r="T65" s="491"/>
      <c r="U65" s="491"/>
      <c r="V65" s="491"/>
      <c r="W65" s="491"/>
      <c r="X65" s="491"/>
      <c r="Y65" s="491"/>
      <c r="Z65" s="491"/>
      <c r="AA65" s="491"/>
      <c r="AB65" s="491"/>
      <c r="AC65" s="491"/>
      <c r="AD65" s="491"/>
      <c r="AE65" s="491"/>
      <c r="AF65" s="491"/>
      <c r="AG65" s="491"/>
      <c r="AH65" s="491"/>
      <c r="AI65" s="491"/>
      <c r="AJ65" s="491"/>
      <c r="AK65" s="491"/>
    </row>
    <row r="66" customFormat="false" ht="14.25" hidden="false" customHeight="true" outlineLevel="0" collapsed="false">
      <c r="O66" s="42"/>
    </row>
  </sheetData>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K8:K11"/>
    <mergeCell ref="R8:R11"/>
    <mergeCell ref="S8:S11"/>
    <mergeCell ref="T8:T11"/>
    <mergeCell ref="X8:X11"/>
    <mergeCell ref="Y8:Y11"/>
    <mergeCell ref="Z8:Z11"/>
    <mergeCell ref="AA8:AA11"/>
    <mergeCell ref="AC8:AC10"/>
    <mergeCell ref="AK8:AK12"/>
    <mergeCell ref="S27:AH27"/>
    <mergeCell ref="S28:AH28"/>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V50:AA50"/>
    <mergeCell ref="AC50:AJ50"/>
    <mergeCell ref="AK51:AK52"/>
    <mergeCell ref="T61:AK61"/>
    <mergeCell ref="T62:AK62"/>
    <mergeCell ref="T64:AK64"/>
    <mergeCell ref="T65:AK65"/>
  </mergeCells>
  <dataValidations count="6">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C8 AG8 AI8 AA9:AB10 AC19 AG19 AI19 Y51 AA51 AG51 AI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F8 AH8 X10 AF19 AH19 X51 Z51 AF51 AH51" type="none">
      <formula1>0</formula1>
      <formula2>0</formula2>
    </dataValidation>
    <dataValidation allowBlank="true" errorStyle="stop" operator="between" promptTitle="checkPeriodRange" showDropDown="false" showErrorMessage="false" showInputMessage="false" sqref="W11 AE11"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D42:AE42" type="list">
      <formula1>UNIT_CONNECT_LIST</formula1>
      <formula2>0</formula2>
    </dataValidation>
    <dataValidation allowBlank="true" error="Допускается ввод не более 900 символов!" errorStyle="stop" errorTitle="Ошибка" operator="lessThanOrEqual" showDropDown="false" showErrorMessage="true" showInputMessage="true" sqref="T8:T11 T51 AB51"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C51"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S80" activeCellId="0" sqref="AS80"/>
    </sheetView>
  </sheetViews>
  <sheetFormatPr defaultColWidth="10.5742187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true" outlineLevel="0" max="16" min="16" style="51" width="3.71"/>
    <col collapsed="false" customWidth="true" hidden="true" outlineLevel="0" max="17" min="17" style="466" width="3.71"/>
    <col collapsed="false" customWidth="true" hidden="false" outlineLevel="0" max="18" min="18" style="414" width="3.71"/>
    <col collapsed="false" customWidth="true" hidden="false" outlineLevel="0" max="19" min="19" style="75" width="12.71"/>
    <col collapsed="false" customWidth="true" hidden="false" outlineLevel="0" max="20" min="20" style="42" width="32"/>
    <col collapsed="false" customWidth="true" hidden="false" outlineLevel="0" max="21" min="21" style="42" width="0.14"/>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7" width="10.57"/>
    <col collapsed="false" customWidth="true" hidden="false" outlineLevel="0" max="58" min="58" style="47" width="11.14"/>
    <col collapsed="false" customWidth="false" hidden="false" outlineLevel="0" max="60" min="59" style="47" width="10.57"/>
  </cols>
  <sheetData>
    <row r="1" customFormat="false" ht="14.25" hidden="true" customHeight="true" outlineLevel="0" collapsed="false"/>
    <row r="2" customFormat="false" ht="21" hidden="true" customHeight="true" outlineLevel="0" collapsed="false">
      <c r="A2" s="415"/>
      <c r="B2" s="415"/>
      <c r="C2" s="415"/>
      <c r="D2" s="415"/>
      <c r="E2" s="416" t="n">
        <v>1</v>
      </c>
      <c r="F2" s="415"/>
      <c r="G2" s="415"/>
      <c r="H2" s="415"/>
      <c r="I2" s="415"/>
      <c r="J2" s="415"/>
      <c r="K2" s="415"/>
      <c r="L2" s="417"/>
      <c r="M2" s="40"/>
      <c r="N2" s="40"/>
      <c r="O2" s="40"/>
      <c r="Q2" s="54"/>
      <c r="R2" s="418"/>
      <c r="S2" s="419" t="e">
        <f aca="false">INDEX(PT_DIFFERENTIATION_NUM_NTAR,MATCH(A2,PT_DIFFERENTIATION_NTAR_ID,0))</f>
        <v>#N/A</v>
      </c>
      <c r="T2" s="420" t="s">
        <v>130</v>
      </c>
      <c r="U2" s="421"/>
      <c r="V2" s="523"/>
      <c r="W2" s="523"/>
      <c r="X2" s="523"/>
      <c r="Y2" s="523"/>
      <c r="Z2" s="523"/>
      <c r="AA2" s="523"/>
      <c r="AB2" s="523"/>
      <c r="AC2" s="523"/>
      <c r="AD2" s="423" t="e">
        <f aca="false">INDEX(PT_DIFFERENTIATION_NTAR,MATCH(A2,PT_DIFFERENTIATION_NTAR_ID,0))</f>
        <v>#N/A</v>
      </c>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7"/>
      <c r="BF2" s="117" t="str">
        <f aca="false">IF(T2="","",T2)</f>
        <v>Наименование тарифа</v>
      </c>
      <c r="BG2" s="117"/>
      <c r="BH2" s="117"/>
    </row>
    <row r="3" customFormat="false" ht="21" hidden="true" customHeight="true" outlineLevel="0" collapsed="false">
      <c r="A3" s="415"/>
      <c r="B3" s="415"/>
      <c r="C3" s="415"/>
      <c r="D3" s="415"/>
      <c r="E3" s="416"/>
      <c r="F3" s="416" t="n">
        <v>1</v>
      </c>
      <c r="G3" s="415"/>
      <c r="H3" s="415"/>
      <c r="I3" s="415"/>
      <c r="J3" s="415"/>
      <c r="K3" s="415"/>
      <c r="L3" s="417"/>
      <c r="M3" s="40"/>
      <c r="N3" s="40"/>
      <c r="O3" s="40"/>
      <c r="P3" s="44"/>
      <c r="Q3" s="524"/>
      <c r="R3" s="426"/>
      <c r="S3" s="419" t="e">
        <f aca="false">INDEX(PT_DIFFERENTIATION_NUM_TER,MATCH(B3,PT_DIFFERENTIATION_TER_ID,0))</f>
        <v>#N/A</v>
      </c>
      <c r="T3" s="427" t="s">
        <v>413</v>
      </c>
      <c r="U3" s="421"/>
      <c r="V3" s="523"/>
      <c r="W3" s="523"/>
      <c r="X3" s="523"/>
      <c r="Y3" s="523"/>
      <c r="Z3" s="523"/>
      <c r="AA3" s="523"/>
      <c r="AB3" s="523"/>
      <c r="AC3" s="523"/>
      <c r="AD3" s="423" t="e">
        <f aca="false">INDEX(PT_DIFFERENTIATION_TER,MATCH(B3,PT_DIFFERENTIATION_TER_ID,0))</f>
        <v>#N/A</v>
      </c>
      <c r="AE3" s="423"/>
      <c r="AF3" s="423"/>
      <c r="AG3" s="423"/>
      <c r="AH3" s="423"/>
      <c r="AI3" s="423"/>
      <c r="AJ3" s="423"/>
      <c r="AK3" s="423"/>
      <c r="AL3" s="423"/>
      <c r="AM3" s="423"/>
      <c r="AN3" s="423"/>
      <c r="AO3" s="423"/>
      <c r="AP3" s="423"/>
      <c r="AQ3" s="423"/>
      <c r="AR3" s="423"/>
      <c r="AS3" s="423"/>
      <c r="AT3" s="423"/>
      <c r="AU3" s="423"/>
      <c r="AV3" s="423"/>
      <c r="AW3" s="423"/>
      <c r="AX3" s="423"/>
      <c r="AY3" s="423"/>
      <c r="AZ3" s="423"/>
      <c r="BA3" s="423"/>
      <c r="BB3" s="423"/>
      <c r="BC3" s="424" t="s">
        <v>414</v>
      </c>
      <c r="BE3" s="117"/>
      <c r="BF3" s="117" t="str">
        <f aca="false">IF(T3="","",T3)</f>
        <v>Территория действия тарифа</v>
      </c>
      <c r="BG3" s="117"/>
      <c r="BH3" s="117"/>
    </row>
    <row r="4" customFormat="false" ht="42" hidden="true" customHeight="true" outlineLevel="0" collapsed="false">
      <c r="A4" s="415"/>
      <c r="B4" s="415"/>
      <c r="C4" s="415"/>
      <c r="D4" s="415"/>
      <c r="E4" s="416"/>
      <c r="F4" s="416"/>
      <c r="G4" s="416" t="n">
        <v>1</v>
      </c>
      <c r="H4" s="415"/>
      <c r="I4" s="415"/>
      <c r="J4" s="415"/>
      <c r="K4" s="415"/>
      <c r="L4" s="417"/>
      <c r="M4" s="40"/>
      <c r="N4" s="40"/>
      <c r="O4" s="40"/>
      <c r="P4" s="126"/>
      <c r="Q4" s="524"/>
      <c r="R4" s="426"/>
      <c r="S4" s="419" t="e">
        <f aca="false">INDEX(PT_DIFFERENTIATION_NUM_CS,MATCH(C4,PT_DIFFERENTIATION_CS_ID,0))</f>
        <v>#N/A</v>
      </c>
      <c r="T4" s="429" t="s">
        <v>495</v>
      </c>
      <c r="U4" s="421"/>
      <c r="V4" s="523"/>
      <c r="W4" s="523"/>
      <c r="X4" s="523"/>
      <c r="Y4" s="523"/>
      <c r="Z4" s="523"/>
      <c r="AA4" s="523"/>
      <c r="AB4" s="523"/>
      <c r="AC4" s="523"/>
      <c r="AD4" s="423" t="e">
        <f aca="false">INDEX(PT_DIFFERENTIATION_CS,MATCH(C4,PT_DIFFERENTIATION_CS_ID,0))</f>
        <v>#N/A</v>
      </c>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4" t="s">
        <v>496</v>
      </c>
      <c r="BE4" s="117"/>
      <c r="BF4" s="117" t="str">
        <f aca="false">IF(T4="","",T4)</f>
        <v>Наименование централизованной системы холодного водоснабжения</v>
      </c>
      <c r="BG4" s="117"/>
      <c r="BH4" s="117"/>
    </row>
    <row r="5" s="47" customFormat="true" ht="14.25" hidden="true" customHeight="true" outlineLevel="0" collapsed="false">
      <c r="A5" s="121"/>
      <c r="B5" s="121"/>
      <c r="C5" s="121"/>
      <c r="D5" s="121"/>
      <c r="E5" s="416"/>
      <c r="F5" s="416"/>
      <c r="G5" s="416"/>
      <c r="H5" s="416" t="n">
        <v>1</v>
      </c>
      <c r="I5" s="121"/>
      <c r="J5" s="121"/>
      <c r="K5" s="121"/>
      <c r="L5" s="191"/>
      <c r="M5" s="46"/>
      <c r="N5" s="46"/>
      <c r="O5" s="46"/>
      <c r="P5" s="581"/>
      <c r="Q5" s="582"/>
      <c r="R5" s="435"/>
      <c r="S5" s="305"/>
      <c r="T5" s="583"/>
      <c r="U5" s="503"/>
      <c r="V5" s="525"/>
      <c r="W5" s="525"/>
      <c r="X5" s="525"/>
      <c r="Y5" s="525"/>
      <c r="Z5" s="525"/>
      <c r="AA5" s="525"/>
      <c r="AB5" s="525"/>
      <c r="AC5" s="525"/>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5" t="s">
        <v>418</v>
      </c>
      <c r="BE5" s="117"/>
      <c r="BF5" s="117" t="str">
        <f aca="false">IF(T5="","",T5)</f>
        <v/>
      </c>
      <c r="BG5" s="117"/>
      <c r="BH5" s="117"/>
    </row>
    <row r="6" s="47" customFormat="true" ht="14.25" hidden="true" customHeight="true" outlineLevel="0" collapsed="false">
      <c r="A6" s="121"/>
      <c r="B6" s="121"/>
      <c r="C6" s="121"/>
      <c r="D6" s="121"/>
      <c r="E6" s="416"/>
      <c r="F6" s="416"/>
      <c r="G6" s="416"/>
      <c r="H6" s="416"/>
      <c r="I6" s="431" t="str">
        <f aca="false">S5&amp;".1"</f>
        <v>.1</v>
      </c>
      <c r="J6" s="121"/>
      <c r="K6" s="121"/>
      <c r="L6" s="191" t="s">
        <v>419</v>
      </c>
      <c r="M6" s="510"/>
      <c r="N6" s="510"/>
      <c r="O6" s="510"/>
      <c r="P6" s="120" t="n">
        <v>1</v>
      </c>
      <c r="Q6" s="120"/>
      <c r="R6" s="432"/>
      <c r="S6" s="305"/>
      <c r="T6" s="502"/>
      <c r="U6" s="503"/>
      <c r="V6" s="525"/>
      <c r="W6" s="525"/>
      <c r="X6" s="525"/>
      <c r="Y6" s="525"/>
      <c r="Z6" s="525"/>
      <c r="AA6" s="525"/>
      <c r="AB6" s="525"/>
      <c r="AC6" s="525"/>
      <c r="AD6" s="504"/>
      <c r="AE6" s="504"/>
      <c r="AF6" s="504"/>
      <c r="AG6" s="504"/>
      <c r="AH6" s="504"/>
      <c r="AI6" s="504"/>
      <c r="AJ6" s="504"/>
      <c r="AK6" s="504"/>
      <c r="AL6" s="504"/>
      <c r="AM6" s="504"/>
      <c r="AN6" s="504"/>
      <c r="AO6" s="504"/>
      <c r="AP6" s="504"/>
      <c r="AQ6" s="504"/>
      <c r="AR6" s="504"/>
      <c r="AS6" s="504"/>
      <c r="AT6" s="504"/>
      <c r="AU6" s="504"/>
      <c r="AV6" s="504"/>
      <c r="AW6" s="504"/>
      <c r="AX6" s="504"/>
      <c r="AY6" s="504"/>
      <c r="AZ6" s="504"/>
      <c r="BA6" s="504"/>
      <c r="BB6" s="504"/>
      <c r="BC6" s="505"/>
      <c r="BE6" s="117"/>
      <c r="BF6" s="117" t="str">
        <f aca="false">IF(T6="","",T6)</f>
        <v/>
      </c>
      <c r="BG6" s="117"/>
      <c r="BH6" s="117"/>
    </row>
    <row r="7" s="47" customFormat="true" ht="14.25" hidden="true" customHeight="true" outlineLevel="0" collapsed="false">
      <c r="A7" s="121"/>
      <c r="B7" s="121"/>
      <c r="C7" s="121"/>
      <c r="D7" s="121"/>
      <c r="E7" s="416"/>
      <c r="F7" s="416"/>
      <c r="G7" s="416"/>
      <c r="H7" s="416"/>
      <c r="I7" s="431"/>
      <c r="J7" s="431" t="str">
        <f aca="false">S5&amp;".1"</f>
        <v>.1</v>
      </c>
      <c r="K7" s="121"/>
      <c r="L7" s="191"/>
      <c r="M7" s="510"/>
      <c r="N7" s="510"/>
      <c r="O7" s="510"/>
      <c r="P7" s="120"/>
      <c r="Q7" s="120" t="n">
        <v>1</v>
      </c>
      <c r="R7" s="435"/>
      <c r="S7" s="305"/>
      <c r="T7" s="526"/>
      <c r="U7" s="503"/>
      <c r="V7" s="525"/>
      <c r="W7" s="525"/>
      <c r="X7" s="525"/>
      <c r="Y7" s="525"/>
      <c r="Z7" s="525"/>
      <c r="AA7" s="525"/>
      <c r="AB7" s="525"/>
      <c r="AC7" s="525"/>
      <c r="AD7" s="504"/>
      <c r="AE7" s="504"/>
      <c r="AF7" s="504"/>
      <c r="AG7" s="504"/>
      <c r="AH7" s="504"/>
      <c r="AI7" s="504"/>
      <c r="AJ7" s="504"/>
      <c r="AK7" s="504"/>
      <c r="AL7" s="504"/>
      <c r="AM7" s="504"/>
      <c r="AN7" s="504"/>
      <c r="AO7" s="504"/>
      <c r="AP7" s="504"/>
      <c r="AQ7" s="504"/>
      <c r="AR7" s="504"/>
      <c r="AS7" s="504"/>
      <c r="AT7" s="504"/>
      <c r="AU7" s="504"/>
      <c r="AV7" s="504"/>
      <c r="AW7" s="504"/>
      <c r="AX7" s="504"/>
      <c r="AY7" s="504"/>
      <c r="AZ7" s="504"/>
      <c r="BA7" s="504"/>
      <c r="BB7" s="504"/>
      <c r="BC7" s="505"/>
      <c r="BE7" s="117"/>
      <c r="BF7" s="117" t="str">
        <f aca="false">IF(T7="","",T7)</f>
        <v/>
      </c>
      <c r="BG7" s="117"/>
      <c r="BH7" s="117"/>
    </row>
    <row r="8" customFormat="false" ht="11.25" hidden="true" customHeight="true" outlineLevel="0" collapsed="false">
      <c r="A8" s="415"/>
      <c r="B8" s="415"/>
      <c r="C8" s="415"/>
      <c r="D8" s="415"/>
      <c r="E8" s="416"/>
      <c r="F8" s="416"/>
      <c r="G8" s="416"/>
      <c r="H8" s="416"/>
      <c r="I8" s="431"/>
      <c r="J8" s="431"/>
      <c r="K8" s="431" t="e">
        <f aca="false">S4&amp;".1"</f>
        <v>#N/A</v>
      </c>
      <c r="L8" s="417"/>
      <c r="P8" s="120"/>
      <c r="Q8" s="120"/>
      <c r="R8" s="527" t="n">
        <v>1</v>
      </c>
      <c r="S8" s="477" t="e">
        <f aca="false">$K8</f>
        <v>#N/A</v>
      </c>
      <c r="T8" s="562"/>
      <c r="U8" s="421"/>
      <c r="V8" s="438"/>
      <c r="W8" s="440"/>
      <c r="X8" s="438"/>
      <c r="Y8" s="440"/>
      <c r="Z8" s="441"/>
      <c r="AA8" s="203" t="s">
        <v>63</v>
      </c>
      <c r="AB8" s="441"/>
      <c r="AC8" s="203" t="s">
        <v>63</v>
      </c>
      <c r="AD8" s="203" t="s">
        <v>63</v>
      </c>
      <c r="AE8" s="529"/>
      <c r="AF8" s="301" t="n">
        <v>1</v>
      </c>
      <c r="AG8" s="580"/>
      <c r="AH8" s="203" t="s">
        <v>63</v>
      </c>
      <c r="AI8" s="529"/>
      <c r="AJ8" s="301" t="n">
        <v>1</v>
      </c>
      <c r="AK8" s="584"/>
      <c r="AL8" s="203" t="s">
        <v>63</v>
      </c>
      <c r="AM8" s="269"/>
      <c r="AN8" s="301" t="n">
        <v>1</v>
      </c>
      <c r="AO8" s="585"/>
      <c r="AP8" s="586" t="s">
        <v>63</v>
      </c>
      <c r="AQ8" s="530"/>
      <c r="AR8" s="301" t="n">
        <v>1</v>
      </c>
      <c r="AS8" s="83"/>
      <c r="AT8" s="438"/>
      <c r="AU8" s="440"/>
      <c r="AV8" s="438"/>
      <c r="AW8" s="440"/>
      <c r="AX8" s="441"/>
      <c r="AY8" s="203" t="s">
        <v>63</v>
      </c>
      <c r="AZ8" s="441"/>
      <c r="BA8" s="203" t="s">
        <v>63</v>
      </c>
      <c r="BB8" s="489"/>
      <c r="BC8" s="442" t="s">
        <v>515</v>
      </c>
      <c r="BE8" s="117"/>
      <c r="BF8" s="117" t="str">
        <f aca="false">IF(T8="","",T8)</f>
        <v/>
      </c>
      <c r="BG8" s="117"/>
      <c r="BH8" s="117"/>
    </row>
    <row r="9" customFormat="false" ht="11.25" hidden="true" customHeight="true" outlineLevel="0" collapsed="false">
      <c r="A9" s="415"/>
      <c r="B9" s="415"/>
      <c r="C9" s="415"/>
      <c r="D9" s="415"/>
      <c r="E9" s="416"/>
      <c r="F9" s="416"/>
      <c r="G9" s="416"/>
      <c r="H9" s="416"/>
      <c r="I9" s="431"/>
      <c r="J9" s="431"/>
      <c r="K9" s="431"/>
      <c r="L9" s="417"/>
      <c r="P9" s="120"/>
      <c r="Q9" s="120"/>
      <c r="R9" s="527"/>
      <c r="S9" s="477"/>
      <c r="T9" s="562"/>
      <c r="U9" s="421"/>
      <c r="V9" s="519"/>
      <c r="W9" s="533"/>
      <c r="X9" s="519"/>
      <c r="Y9" s="533"/>
      <c r="Z9" s="519"/>
      <c r="AA9" s="519"/>
      <c r="AB9" s="519"/>
      <c r="AC9" s="519"/>
      <c r="AD9" s="203"/>
      <c r="AE9" s="529"/>
      <c r="AF9" s="301"/>
      <c r="AG9" s="580"/>
      <c r="AH9" s="203"/>
      <c r="AI9" s="529"/>
      <c r="AJ9" s="301"/>
      <c r="AK9" s="584"/>
      <c r="AL9" s="203"/>
      <c r="AM9" s="269"/>
      <c r="AN9" s="301"/>
      <c r="AO9" s="585"/>
      <c r="AP9" s="586"/>
      <c r="AQ9" s="532"/>
      <c r="AR9" s="167"/>
      <c r="AS9" s="167" t="s">
        <v>516</v>
      </c>
      <c r="AT9" s="519"/>
      <c r="AU9" s="533"/>
      <c r="AV9" s="519"/>
      <c r="AW9" s="533"/>
      <c r="AX9" s="519"/>
      <c r="AY9" s="519"/>
      <c r="AZ9" s="519"/>
      <c r="BA9" s="519"/>
      <c r="BB9" s="531"/>
      <c r="BC9" s="442"/>
      <c r="BE9" s="117"/>
      <c r="BF9" s="117"/>
      <c r="BG9" s="117"/>
      <c r="BH9" s="117"/>
    </row>
    <row r="10" customFormat="false" ht="11.25" hidden="true" customHeight="true" outlineLevel="0" collapsed="false">
      <c r="A10" s="415"/>
      <c r="B10" s="415"/>
      <c r="C10" s="415"/>
      <c r="D10" s="415"/>
      <c r="E10" s="416"/>
      <c r="F10" s="416"/>
      <c r="G10" s="416"/>
      <c r="H10" s="416"/>
      <c r="I10" s="431"/>
      <c r="J10" s="431"/>
      <c r="K10" s="431"/>
      <c r="L10" s="417"/>
      <c r="P10" s="120"/>
      <c r="Q10" s="120"/>
      <c r="R10" s="527"/>
      <c r="S10" s="477"/>
      <c r="T10" s="562"/>
      <c r="U10" s="421"/>
      <c r="V10" s="519"/>
      <c r="W10" s="533"/>
      <c r="X10" s="519"/>
      <c r="Y10" s="533"/>
      <c r="Z10" s="519"/>
      <c r="AA10" s="519"/>
      <c r="AB10" s="519"/>
      <c r="AC10" s="519"/>
      <c r="AD10" s="203"/>
      <c r="AE10" s="529"/>
      <c r="AF10" s="301"/>
      <c r="AG10" s="580"/>
      <c r="AH10" s="203"/>
      <c r="AI10" s="529"/>
      <c r="AJ10" s="301"/>
      <c r="AK10" s="584"/>
      <c r="AL10" s="203"/>
      <c r="AM10" s="532"/>
      <c r="AN10" s="587"/>
      <c r="AO10" s="587" t="s">
        <v>517</v>
      </c>
      <c r="AP10" s="167"/>
      <c r="AQ10" s="167"/>
      <c r="AR10" s="167"/>
      <c r="AS10" s="519"/>
      <c r="AT10" s="519"/>
      <c r="AU10" s="533"/>
      <c r="AV10" s="519"/>
      <c r="AW10" s="533"/>
      <c r="AX10" s="519"/>
      <c r="AY10" s="519"/>
      <c r="AZ10" s="519"/>
      <c r="BA10" s="519"/>
      <c r="BB10" s="531"/>
      <c r="BC10" s="442"/>
      <c r="BE10" s="117"/>
      <c r="BF10" s="117"/>
      <c r="BG10" s="117"/>
      <c r="BH10" s="117"/>
    </row>
    <row r="11" customFormat="false" ht="11.25" hidden="true" customHeight="true" outlineLevel="0" collapsed="false">
      <c r="A11" s="415"/>
      <c r="B11" s="415"/>
      <c r="C11" s="415"/>
      <c r="D11" s="415"/>
      <c r="E11" s="416"/>
      <c r="F11" s="416"/>
      <c r="G11" s="416"/>
      <c r="H11" s="416"/>
      <c r="I11" s="431"/>
      <c r="J11" s="431"/>
      <c r="K11" s="431"/>
      <c r="L11" s="417"/>
      <c r="P11" s="120"/>
      <c r="Q11" s="120"/>
      <c r="R11" s="527"/>
      <c r="S11" s="477"/>
      <c r="T11" s="562"/>
      <c r="U11" s="421"/>
      <c r="V11" s="519"/>
      <c r="W11" s="533"/>
      <c r="X11" s="519"/>
      <c r="Y11" s="533"/>
      <c r="Z11" s="519"/>
      <c r="AA11" s="519"/>
      <c r="AB11" s="519"/>
      <c r="AC11" s="519"/>
      <c r="AD11" s="203"/>
      <c r="AE11" s="529"/>
      <c r="AF11" s="301"/>
      <c r="AG11" s="580"/>
      <c r="AH11" s="203"/>
      <c r="AI11" s="535"/>
      <c r="AJ11" s="160"/>
      <c r="AK11" s="382" t="s">
        <v>518</v>
      </c>
      <c r="AL11" s="519"/>
      <c r="AM11" s="519"/>
      <c r="AN11" s="519"/>
      <c r="AO11" s="519"/>
      <c r="AP11" s="519"/>
      <c r="AQ11" s="519"/>
      <c r="AR11" s="519"/>
      <c r="AS11" s="519"/>
      <c r="AT11" s="519"/>
      <c r="AU11" s="533"/>
      <c r="AV11" s="519"/>
      <c r="AW11" s="533"/>
      <c r="AX11" s="519"/>
      <c r="AY11" s="519"/>
      <c r="AZ11" s="519"/>
      <c r="BA11" s="519"/>
      <c r="BB11" s="531"/>
      <c r="BC11" s="442"/>
      <c r="BE11" s="117"/>
      <c r="BF11" s="117"/>
      <c r="BG11" s="117"/>
      <c r="BH11" s="117"/>
    </row>
    <row r="12" customFormat="false" ht="11.25" hidden="true" customHeight="true" outlineLevel="0" collapsed="false">
      <c r="A12" s="415"/>
      <c r="B12" s="415"/>
      <c r="C12" s="415"/>
      <c r="D12" s="415"/>
      <c r="E12" s="416"/>
      <c r="F12" s="416"/>
      <c r="G12" s="416"/>
      <c r="H12" s="416"/>
      <c r="I12" s="431"/>
      <c r="J12" s="431"/>
      <c r="K12" s="431"/>
      <c r="L12" s="417"/>
      <c r="P12" s="120"/>
      <c r="Q12" s="120"/>
      <c r="R12" s="527"/>
      <c r="S12" s="477"/>
      <c r="T12" s="562"/>
      <c r="U12" s="421"/>
      <c r="V12" s="519"/>
      <c r="W12" s="520" t="str">
        <f aca="false">Z8&amp;"-"&amp;AB8</f>
        <v>-</v>
      </c>
      <c r="X12" s="519"/>
      <c r="Y12" s="520" t="str">
        <f aca="false">AB8&amp;"-"&amp;AD8</f>
        <v>-да</v>
      </c>
      <c r="Z12" s="519"/>
      <c r="AA12" s="519"/>
      <c r="AB12" s="519"/>
      <c r="AC12" s="519"/>
      <c r="AD12" s="203"/>
      <c r="AE12" s="537"/>
      <c r="AF12" s="538"/>
      <c r="AG12" s="167" t="s">
        <v>519</v>
      </c>
      <c r="AH12" s="519"/>
      <c r="AI12" s="519"/>
      <c r="AJ12" s="519"/>
      <c r="AK12" s="519"/>
      <c r="AL12" s="519"/>
      <c r="AM12" s="519"/>
      <c r="AN12" s="519"/>
      <c r="AO12" s="519"/>
      <c r="AP12" s="519"/>
      <c r="AQ12" s="519"/>
      <c r="AR12" s="519"/>
      <c r="AS12" s="519"/>
      <c r="AT12" s="519"/>
      <c r="AU12" s="520" t="str">
        <f aca="false">AX8&amp;"-"&amp;AZ8</f>
        <v>-</v>
      </c>
      <c r="AV12" s="519"/>
      <c r="AW12" s="520" t="str">
        <f aca="false">AZ8&amp;"-"&amp;BB8</f>
        <v>-</v>
      </c>
      <c r="AX12" s="519"/>
      <c r="AY12" s="519"/>
      <c r="AZ12" s="519"/>
      <c r="BA12" s="519"/>
      <c r="BB12" s="536" t="str">
        <f aca="false">BE8&amp;"-"&amp;BG8</f>
        <v>-</v>
      </c>
      <c r="BC12" s="442"/>
      <c r="BE12" s="117"/>
      <c r="BF12" s="117" t="str">
        <f aca="false">IF(T12="","",T12)</f>
        <v/>
      </c>
      <c r="BG12" s="117"/>
      <c r="BH12" s="117"/>
    </row>
    <row r="13" customFormat="false" ht="11.25" hidden="true" customHeight="true" outlineLevel="0" collapsed="false">
      <c r="A13" s="415"/>
      <c r="B13" s="415"/>
      <c r="C13" s="415"/>
      <c r="D13" s="415"/>
      <c r="E13" s="416"/>
      <c r="F13" s="416"/>
      <c r="G13" s="416"/>
      <c r="H13" s="416"/>
      <c r="I13" s="431"/>
      <c r="J13" s="431"/>
      <c r="K13" s="415"/>
      <c r="L13" s="417"/>
      <c r="P13" s="120"/>
      <c r="Q13" s="120"/>
      <c r="R13" s="432"/>
      <c r="S13" s="444"/>
      <c r="T13" s="447" t="s">
        <v>481</v>
      </c>
      <c r="U13" s="193"/>
      <c r="V13" s="193"/>
      <c r="W13" s="193"/>
      <c r="X13" s="193"/>
      <c r="Y13" s="193"/>
      <c r="Z13" s="193"/>
      <c r="AA13" s="193"/>
      <c r="AB13" s="193"/>
      <c r="AC13" s="193"/>
      <c r="AD13" s="558"/>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446"/>
      <c r="BC13" s="442"/>
      <c r="BE13" s="117"/>
      <c r="BF13" s="117" t="str">
        <f aca="false">IF(T13="","",T13)</f>
        <v>Добавить строку</v>
      </c>
      <c r="BG13" s="117"/>
      <c r="BH13" s="117"/>
    </row>
    <row r="14" s="47" customFormat="true" ht="14.25" hidden="true" customHeight="true" outlineLevel="0" collapsed="false">
      <c r="A14" s="121"/>
      <c r="B14" s="121"/>
      <c r="C14" s="121"/>
      <c r="D14" s="121"/>
      <c r="E14" s="416"/>
      <c r="F14" s="416"/>
      <c r="G14" s="416"/>
      <c r="H14" s="416"/>
      <c r="I14" s="431"/>
      <c r="J14" s="121"/>
      <c r="K14" s="121"/>
      <c r="L14" s="191"/>
      <c r="M14" s="510"/>
      <c r="N14" s="510"/>
      <c r="O14" s="510"/>
      <c r="P14" s="120"/>
      <c r="Q14" s="120"/>
      <c r="R14" s="432"/>
      <c r="S14" s="506"/>
      <c r="T14" s="507"/>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8"/>
      <c r="AY14" s="508"/>
      <c r="AZ14" s="508"/>
      <c r="BA14" s="508"/>
      <c r="BB14" s="508"/>
      <c r="BC14" s="509"/>
      <c r="BE14" s="117"/>
      <c r="BF14" s="117" t="str">
        <f aca="false">IF(T14="","",T14)</f>
        <v/>
      </c>
      <c r="BG14" s="117"/>
      <c r="BH14" s="117"/>
    </row>
    <row r="15" s="47" customFormat="true" ht="14.25" hidden="true" customHeight="true" outlineLevel="0" collapsed="false">
      <c r="A15" s="121"/>
      <c r="B15" s="121"/>
      <c r="C15" s="121"/>
      <c r="D15" s="121"/>
      <c r="E15" s="416"/>
      <c r="F15" s="416"/>
      <c r="G15" s="416"/>
      <c r="H15" s="416"/>
      <c r="I15" s="121"/>
      <c r="J15" s="121"/>
      <c r="K15" s="121"/>
      <c r="L15" s="191"/>
      <c r="M15" s="46"/>
      <c r="N15" s="46"/>
      <c r="P15" s="155"/>
      <c r="Q15" s="452"/>
      <c r="R15" s="539"/>
      <c r="S15" s="506"/>
      <c r="T15" s="507"/>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8"/>
      <c r="AY15" s="508"/>
      <c r="AZ15" s="508"/>
      <c r="BA15" s="508"/>
      <c r="BB15" s="508"/>
      <c r="BC15" s="509"/>
      <c r="BE15" s="117"/>
      <c r="BF15" s="117" t="str">
        <f aca="false">IF(T15="","",T15)</f>
        <v/>
      </c>
      <c r="BG15" s="117"/>
      <c r="BH15" s="117"/>
    </row>
    <row r="16" s="47" customFormat="true" ht="14.25" hidden="true" customHeight="true" outlineLevel="0" collapsed="false">
      <c r="A16" s="121"/>
      <c r="B16" s="121"/>
      <c r="C16" s="121"/>
      <c r="D16" s="121"/>
      <c r="E16" s="416"/>
      <c r="F16" s="416"/>
      <c r="G16" s="416"/>
      <c r="H16" s="121"/>
      <c r="I16" s="121"/>
      <c r="J16" s="121"/>
      <c r="K16" s="121"/>
      <c r="L16" s="191"/>
      <c r="M16" s="46"/>
      <c r="N16" s="46"/>
      <c r="P16" s="155"/>
      <c r="Q16" s="452"/>
      <c r="R16" s="155"/>
      <c r="S16" s="457"/>
      <c r="T16" s="460"/>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E16" s="117"/>
      <c r="BF16" s="117" t="str">
        <f aca="false">IF(T16="","",T16)</f>
        <v/>
      </c>
      <c r="BG16" s="117"/>
      <c r="BH16" s="117"/>
    </row>
    <row r="17" s="47" customFormat="true" ht="14.25" hidden="true" customHeight="true" outlineLevel="0" collapsed="false">
      <c r="A17" s="121"/>
      <c r="B17" s="121"/>
      <c r="C17" s="121"/>
      <c r="D17" s="121"/>
      <c r="E17" s="416"/>
      <c r="F17" s="416"/>
      <c r="G17" s="121"/>
      <c r="H17" s="121"/>
      <c r="I17" s="121"/>
      <c r="J17" s="121"/>
      <c r="K17" s="121"/>
      <c r="L17" s="191"/>
      <c r="M17" s="456"/>
      <c r="N17" s="456"/>
      <c r="P17" s="155"/>
      <c r="Q17" s="452"/>
      <c r="R17" s="155"/>
      <c r="S17" s="457"/>
      <c r="T17" s="460" t="s">
        <v>261</v>
      </c>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E17" s="117"/>
      <c r="BF17" s="117" t="str">
        <f aca="false">IF(T17="","",T17)</f>
        <v>Добавить централизованную систему для дифференциации</v>
      </c>
      <c r="BG17" s="117"/>
      <c r="BH17" s="117"/>
    </row>
    <row r="18" s="47" customFormat="true" ht="14.25" hidden="true" customHeight="true" outlineLevel="0" collapsed="false">
      <c r="A18" s="121"/>
      <c r="B18" s="121"/>
      <c r="C18" s="121"/>
      <c r="D18" s="121"/>
      <c r="E18" s="416"/>
      <c r="F18" s="121"/>
      <c r="G18" s="121"/>
      <c r="H18" s="121"/>
      <c r="I18" s="121"/>
      <c r="J18" s="121"/>
      <c r="K18" s="121"/>
      <c r="L18" s="191"/>
      <c r="M18" s="456"/>
      <c r="N18" s="456"/>
      <c r="P18" s="155"/>
      <c r="Q18" s="452"/>
      <c r="R18" s="155"/>
      <c r="S18" s="457"/>
      <c r="T18" s="460" t="s">
        <v>268</v>
      </c>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E18" s="117"/>
      <c r="BF18" s="117" t="str">
        <f aca="false">IF(T18="","",T18)</f>
        <v>Добавить территорию для дифференциации</v>
      </c>
      <c r="BG18" s="117"/>
      <c r="BH18" s="117"/>
    </row>
    <row r="19" customFormat="false" ht="14.25" hidden="true" customHeight="true" outlineLevel="0" collapsed="false"/>
    <row r="20" customFormat="false" ht="14.25" hidden="true" customHeight="true" outlineLevel="0" collapsed="false">
      <c r="AD20" s="459" t="s">
        <v>53</v>
      </c>
      <c r="AE20" s="540"/>
      <c r="AF20" s="459" t="n">
        <v>1</v>
      </c>
      <c r="AG20" s="541"/>
      <c r="AH20" s="459" t="s">
        <v>53</v>
      </c>
      <c r="AI20" s="540"/>
      <c r="AJ20" s="459" t="n">
        <v>1</v>
      </c>
      <c r="AK20" s="541"/>
      <c r="AL20" s="459" t="s">
        <v>53</v>
      </c>
      <c r="AM20" s="542"/>
      <c r="AN20" s="459" t="n">
        <v>1</v>
      </c>
      <c r="AO20" s="122"/>
      <c r="AP20" s="459" t="s">
        <v>53</v>
      </c>
      <c r="AQ20" s="542"/>
      <c r="AR20" s="459" t="n">
        <v>1</v>
      </c>
      <c r="AS20" s="122"/>
      <c r="AT20" s="439"/>
      <c r="AU20" s="500"/>
      <c r="AV20" s="439"/>
      <c r="AW20" s="500"/>
      <c r="AX20" s="546"/>
      <c r="AY20" s="248" t="s">
        <v>63</v>
      </c>
      <c r="AZ20" s="546"/>
      <c r="BA20" s="248" t="s">
        <v>63</v>
      </c>
    </row>
    <row r="21" customFormat="false" ht="14.25" hidden="true" customHeight="true" outlineLevel="0" collapsed="false">
      <c r="BD21" s="119"/>
      <c r="BE21" s="119"/>
      <c r="BF21" s="119"/>
      <c r="BG21" s="119"/>
      <c r="BH21" s="119"/>
    </row>
    <row r="22" customFormat="false" ht="14.25" hidden="true" customHeight="true" outlineLevel="0" collapsed="false">
      <c r="O22" s="465" t="s">
        <v>431</v>
      </c>
      <c r="Z22" s="498"/>
      <c r="AB22" s="498"/>
      <c r="AX22" s="498"/>
      <c r="AZ22" s="498"/>
      <c r="BD22" s="119"/>
      <c r="BE22" s="119"/>
      <c r="BF22" s="119"/>
      <c r="BG22" s="119"/>
      <c r="BH22" s="119"/>
    </row>
    <row r="23" customFormat="false" ht="14.25" hidden="true" customHeight="true" outlineLevel="0" collapsed="false">
      <c r="BD23" s="119"/>
      <c r="BE23" s="119"/>
      <c r="BF23" s="119"/>
      <c r="BG23" s="119"/>
      <c r="BH23" s="119"/>
    </row>
    <row r="24" s="547" customFormat="true" ht="14.25" hidden="true" customHeight="true" outlineLevel="0" collapsed="false">
      <c r="M24" s="548"/>
      <c r="N24" s="548"/>
      <c r="O24" s="547" t="s">
        <v>432</v>
      </c>
      <c r="P24" s="548"/>
      <c r="Q24" s="549"/>
      <c r="R24" s="549"/>
      <c r="AA24" s="547" t="s">
        <v>434</v>
      </c>
      <c r="AC24" s="547" t="s">
        <v>435</v>
      </c>
      <c r="AD24" s="547" t="s">
        <v>482</v>
      </c>
      <c r="AH24" s="547" t="s">
        <v>482</v>
      </c>
      <c r="AK24" s="547" t="s">
        <v>520</v>
      </c>
      <c r="AL24" s="547" t="s">
        <v>482</v>
      </c>
      <c r="AP24" s="547" t="s">
        <v>482</v>
      </c>
      <c r="AY24" s="547" t="s">
        <v>434</v>
      </c>
      <c r="BA24" s="547" t="s">
        <v>435</v>
      </c>
      <c r="BD24" s="550"/>
      <c r="BE24" s="550"/>
      <c r="BF24" s="550"/>
      <c r="BG24" s="550"/>
      <c r="BH24" s="550"/>
    </row>
    <row r="25" customFormat="false" ht="14.25" hidden="true" customHeight="true" outlineLevel="0" collapsed="false">
      <c r="O25" s="417"/>
      <c r="BD25" s="119"/>
      <c r="BE25" s="119"/>
      <c r="BF25" s="119"/>
      <c r="BG25" s="119"/>
      <c r="BH25" s="119"/>
    </row>
    <row r="26" customFormat="false" ht="14.25" hidden="true" customHeight="true" outlineLevel="0" collapsed="false">
      <c r="O26" s="417"/>
      <c r="BD26" s="119"/>
      <c r="BE26" s="119"/>
      <c r="BF26" s="119"/>
      <c r="BG26" s="119"/>
      <c r="BH26" s="119"/>
    </row>
    <row r="27" customFormat="false" ht="14.25" hidden="false" customHeight="true" outlineLevel="0" collapsed="false">
      <c r="Q27" s="551"/>
      <c r="R27" s="467"/>
      <c r="S27" s="468"/>
      <c r="T27" s="79"/>
      <c r="U27" s="79"/>
    </row>
    <row r="28" customFormat="false" ht="14.25" hidden="false" customHeight="true" outlineLevel="0" collapsed="false">
      <c r="Q28" s="551"/>
      <c r="R28" s="467"/>
      <c r="S28" s="212" t="str">
        <f aca="false">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4"/>
    </row>
    <row r="29" customFormat="false" ht="14.25" hidden="false" customHeight="true" outlineLevel="0" collapsed="false">
      <c r="Q29" s="551"/>
      <c r="R29" s="467"/>
      <c r="S29" s="265" t="str">
        <f aca="false">IF(org=0,"Не определено",org)</f>
        <v>ООО "Газпром теплоэнерго Ярославль"</v>
      </c>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14"/>
    </row>
    <row r="30" customFormat="false" ht="14.25" hidden="false" customHeight="true" outlineLevel="0" collapsed="false">
      <c r="Q30" s="551"/>
      <c r="R30" s="467"/>
      <c r="S30" s="468"/>
      <c r="T30" s="79"/>
      <c r="U30" s="7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69"/>
      <c r="AY30" s="469"/>
      <c r="AZ30" s="469"/>
      <c r="BA30" s="469"/>
    </row>
    <row r="31" s="174" customFormat="true" ht="25.5" hidden="false" customHeight="true" outlineLevel="0" collapsed="false">
      <c r="A31" s="139"/>
      <c r="B31" s="139"/>
      <c r="C31" s="139"/>
      <c r="D31" s="139"/>
      <c r="E31" s="139"/>
      <c r="F31" s="139"/>
      <c r="G31" s="139"/>
      <c r="H31" s="139"/>
      <c r="I31" s="139"/>
      <c r="J31" s="139"/>
      <c r="K31" s="139"/>
      <c r="L31" s="417"/>
      <c r="M31" s="139"/>
      <c r="N31" s="139"/>
      <c r="O31" s="139"/>
      <c r="P31" s="139"/>
      <c r="Q31" s="139"/>
      <c r="S31" s="470" t="s">
        <v>37</v>
      </c>
      <c r="T31" s="470"/>
      <c r="U31" s="471"/>
      <c r="V31" s="472" t="str">
        <f aca="false">IF(TITLE_NAME_OR_PR_CHANGE="",IF(TITLE_NAME_OR_PR="","",TITLE_NAME_OR_PR),TITLE_NAME_OR_PR_CHANGE)</f>
        <v>Министерство тарифного регулирования Ярославской области</v>
      </c>
      <c r="W31" s="472"/>
      <c r="X31" s="472"/>
      <c r="Y31" s="472"/>
      <c r="Z31" s="472"/>
      <c r="AA31" s="472"/>
      <c r="AB31" s="472"/>
      <c r="AC31" s="42"/>
      <c r="AD31" s="472" t="str">
        <f aca="false">IF(TITLE_NAME_OR_PR_CHANGE="",IF(TITLE_NAME_OR_PR="","",TITLE_NAME_OR_PR),TITLE_NAME_OR_PR_CHANGE)</f>
        <v>Министерство тарифного регулирования Ярославской области</v>
      </c>
      <c r="AE31" s="472"/>
      <c r="AF31" s="472"/>
      <c r="AG31" s="472"/>
      <c r="AH31" s="472"/>
      <c r="AI31" s="472"/>
      <c r="AJ31" s="472"/>
      <c r="AK31" s="472"/>
      <c r="AL31" s="472"/>
      <c r="AM31" s="472"/>
      <c r="AN31" s="472"/>
      <c r="AO31" s="472"/>
      <c r="AP31" s="472"/>
      <c r="AQ31" s="472"/>
      <c r="AR31" s="472"/>
      <c r="AS31" s="472"/>
      <c r="AT31" s="472"/>
      <c r="AU31" s="472"/>
      <c r="AV31" s="472"/>
      <c r="AW31" s="472"/>
      <c r="AX31" s="472"/>
      <c r="AY31" s="472"/>
      <c r="AZ31" s="472"/>
      <c r="BA31" s="42"/>
      <c r="BB31" s="42"/>
      <c r="BC31" s="473"/>
      <c r="BD31" s="117"/>
      <c r="BE31" s="117"/>
      <c r="BF31" s="117"/>
      <c r="BG31" s="117"/>
      <c r="BH31" s="117"/>
    </row>
    <row r="32" s="174" customFormat="true" ht="18.75" hidden="false" customHeight="true" outlineLevel="0" collapsed="false">
      <c r="A32" s="139"/>
      <c r="B32" s="139"/>
      <c r="C32" s="139"/>
      <c r="D32" s="139"/>
      <c r="E32" s="139"/>
      <c r="F32" s="139"/>
      <c r="G32" s="139"/>
      <c r="H32" s="139"/>
      <c r="I32" s="139"/>
      <c r="J32" s="139"/>
      <c r="K32" s="139"/>
      <c r="L32" s="417"/>
      <c r="M32" s="139"/>
      <c r="N32" s="139"/>
      <c r="O32" s="139"/>
      <c r="P32" s="139"/>
      <c r="Q32" s="139"/>
      <c r="S32" s="470" t="s">
        <v>437</v>
      </c>
      <c r="T32" s="470"/>
      <c r="U32" s="471"/>
      <c r="V32" s="474" t="str">
        <f aca="false">IF(TITLE_DATE_PR_CHANGE="",IF(TITLE_DATE_PR="","",TITLE_DATE_PR),TITLE_DATE_PR_CHANGE)</f>
        <v>45279.46460648148</v>
      </c>
      <c r="W32" s="474"/>
      <c r="X32" s="474"/>
      <c r="Y32" s="474"/>
      <c r="Z32" s="474"/>
      <c r="AA32" s="474"/>
      <c r="AB32" s="474"/>
      <c r="AC32" s="42"/>
      <c r="AD32" s="474" t="str">
        <f aca="false">IF(TITLE_DATE_PR_CHANGE="",IF(TITLE_DATE_PR="","",TITLE_DATE_PR),TITLE_DATE_PR_CHANGE)</f>
        <v>45279.46460648148</v>
      </c>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2"/>
      <c r="BB32" s="42"/>
      <c r="BC32" s="473"/>
      <c r="BD32" s="117"/>
      <c r="BE32" s="117"/>
      <c r="BF32" s="117"/>
      <c r="BG32" s="117"/>
      <c r="BH32" s="117"/>
    </row>
    <row r="33" s="174" customFormat="true" ht="18.75" hidden="false" customHeight="true" outlineLevel="0" collapsed="false">
      <c r="A33" s="139"/>
      <c r="B33" s="139"/>
      <c r="C33" s="139"/>
      <c r="D33" s="139"/>
      <c r="E33" s="139"/>
      <c r="F33" s="139"/>
      <c r="G33" s="139"/>
      <c r="H33" s="139"/>
      <c r="I33" s="139"/>
      <c r="J33" s="139"/>
      <c r="K33" s="139"/>
      <c r="L33" s="417"/>
      <c r="M33" s="139"/>
      <c r="N33" s="139"/>
      <c r="O33" s="139"/>
      <c r="P33" s="139"/>
      <c r="Q33" s="139"/>
      <c r="S33" s="470" t="s">
        <v>438</v>
      </c>
      <c r="T33" s="470"/>
      <c r="U33" s="471"/>
      <c r="V33" s="472" t="str">
        <f aca="false">IF(TITLE_NUMBER_PR_CHANGE="",IF(TITLE_NUMBER_PR="","",TITLE_NUMBER_PR),TITLE_NUMBER_PR_CHANGE)</f>
        <v>403-гвс, 404-гвс, 406-гвс</v>
      </c>
      <c r="W33" s="472"/>
      <c r="X33" s="472"/>
      <c r="Y33" s="472"/>
      <c r="Z33" s="472"/>
      <c r="AA33" s="472"/>
      <c r="AB33" s="472"/>
      <c r="AC33" s="42"/>
      <c r="AD33" s="472" t="str">
        <f aca="false">IF(TITLE_NUMBER_PR_CHANGE="",IF(TITLE_NUMBER_PR="","",TITLE_NUMBER_PR),TITLE_NUMBER_PR_CHANGE)</f>
        <v>403-гвс, 404-гвс, 406-гвс</v>
      </c>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2"/>
      <c r="BB33" s="42"/>
      <c r="BC33" s="473"/>
      <c r="BD33" s="117"/>
      <c r="BE33" s="117"/>
      <c r="BF33" s="117"/>
      <c r="BG33" s="117"/>
      <c r="BH33" s="117"/>
    </row>
    <row r="34" s="174" customFormat="true" ht="18.75" hidden="false" customHeight="true" outlineLevel="0" collapsed="false">
      <c r="A34" s="139"/>
      <c r="B34" s="139"/>
      <c r="C34" s="139"/>
      <c r="D34" s="139"/>
      <c r="E34" s="139"/>
      <c r="F34" s="139"/>
      <c r="G34" s="139"/>
      <c r="H34" s="139"/>
      <c r="I34" s="139"/>
      <c r="J34" s="139"/>
      <c r="K34" s="139"/>
      <c r="L34" s="417"/>
      <c r="M34" s="139"/>
      <c r="N34" s="139"/>
      <c r="O34" s="139"/>
      <c r="P34" s="139"/>
      <c r="Q34" s="139"/>
      <c r="S34" s="470" t="s">
        <v>39</v>
      </c>
      <c r="T34" s="470"/>
      <c r="U34" s="471"/>
      <c r="V34" s="472" t="str">
        <f aca="false">IF(TITLE_IST_PUB_CHANGE="",IF(TITLE_IST_PUB="","",TITLE_IST_PUB),TITLE_IST_PUB_CHANGE)</f>
        <v>официальный интернет- портал правовой информации www.pravo.gov.ru</v>
      </c>
      <c r="W34" s="472"/>
      <c r="X34" s="472"/>
      <c r="Y34" s="472"/>
      <c r="Z34" s="472"/>
      <c r="AA34" s="472"/>
      <c r="AB34" s="472"/>
      <c r="AC34" s="42"/>
      <c r="AD34" s="472" t="str">
        <f aca="false">IF(TITLE_IST_PUB_CHANGE="",IF(TITLE_IST_PUB="","",TITLE_IST_PUB),TITLE_IST_PUB_CHANGE)</f>
        <v>официальный интернет- портал правовой информации www.pravo.gov.ru</v>
      </c>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42"/>
      <c r="BB34" s="42"/>
      <c r="BC34" s="473"/>
      <c r="BD34" s="117"/>
      <c r="BE34" s="117"/>
      <c r="BF34" s="117"/>
      <c r="BG34" s="117"/>
      <c r="BH34" s="117"/>
    </row>
    <row r="35" customFormat="false" ht="14.25" hidden="true" customHeight="true" outlineLevel="0" collapsed="false">
      <c r="Q35" s="551"/>
      <c r="R35" s="467"/>
      <c r="S35" s="468"/>
      <c r="T35" s="79"/>
      <c r="U35" s="79"/>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69"/>
      <c r="AV35" s="469"/>
      <c r="AW35" s="469"/>
      <c r="AX35" s="469"/>
      <c r="AY35" s="469"/>
      <c r="AZ35" s="469"/>
      <c r="BA35" s="469"/>
    </row>
    <row r="36" s="174" customFormat="true" ht="18.75" hidden="true" customHeight="true" outlineLevel="0" collapsed="false">
      <c r="A36" s="139"/>
      <c r="B36" s="139"/>
      <c r="C36" s="139"/>
      <c r="D36" s="139"/>
      <c r="E36" s="139"/>
      <c r="F36" s="139"/>
      <c r="G36" s="139"/>
      <c r="H36" s="139"/>
      <c r="I36" s="139"/>
      <c r="J36" s="139"/>
      <c r="K36" s="139"/>
      <c r="L36" s="417"/>
      <c r="M36" s="139"/>
      <c r="N36" s="139"/>
      <c r="O36" s="139"/>
      <c r="P36" s="139"/>
      <c r="Q36" s="139"/>
      <c r="S36" s="470" t="s">
        <v>437</v>
      </c>
      <c r="T36" s="470"/>
      <c r="U36" s="471"/>
      <c r="V36" s="474" t="str">
        <f aca="false">IF(TITLE_DATE_PR_CHANGE="",IF(TITLE_DATE_PR="","",TITLE_DATE_PR),TITLE_DATE_PR_CHANGE)</f>
        <v>45279.46460648148</v>
      </c>
      <c r="W36" s="474"/>
      <c r="X36" s="474"/>
      <c r="Y36" s="474"/>
      <c r="Z36" s="474"/>
      <c r="AA36" s="474"/>
      <c r="AB36" s="474"/>
      <c r="AC36" s="42"/>
      <c r="AD36" s="474" t="str">
        <f aca="false">IF(TITLE_DATE_PR_CHANGE="",IF(TITLE_DATE_PR="","",TITLE_DATE_PR),TITLE_DATE_PR_CHANGE)</f>
        <v>45279.46460648148</v>
      </c>
      <c r="AE36" s="474"/>
      <c r="AF36" s="474"/>
      <c r="AG36" s="474"/>
      <c r="AH36" s="474"/>
      <c r="AI36" s="474"/>
      <c r="AJ36" s="474"/>
      <c r="AK36" s="474"/>
      <c r="AL36" s="474"/>
      <c r="AM36" s="474"/>
      <c r="AN36" s="474"/>
      <c r="AO36" s="474"/>
      <c r="AP36" s="474"/>
      <c r="AQ36" s="474"/>
      <c r="AR36" s="474"/>
      <c r="AS36" s="474"/>
      <c r="AT36" s="474"/>
      <c r="AU36" s="474"/>
      <c r="AV36" s="474"/>
      <c r="AW36" s="474"/>
      <c r="AX36" s="474"/>
      <c r="AY36" s="474"/>
      <c r="AZ36" s="474"/>
      <c r="BA36" s="42"/>
      <c r="BB36" s="42"/>
      <c r="BC36" s="473"/>
      <c r="BD36" s="117"/>
      <c r="BE36" s="117"/>
      <c r="BF36" s="117"/>
      <c r="BG36" s="117"/>
      <c r="BH36" s="117"/>
    </row>
    <row r="37" s="174" customFormat="true" ht="18.75" hidden="true" customHeight="true" outlineLevel="0" collapsed="false">
      <c r="A37" s="139"/>
      <c r="B37" s="139"/>
      <c r="C37" s="139"/>
      <c r="D37" s="139"/>
      <c r="E37" s="139"/>
      <c r="F37" s="139"/>
      <c r="G37" s="139"/>
      <c r="H37" s="139"/>
      <c r="I37" s="139"/>
      <c r="J37" s="139"/>
      <c r="K37" s="139"/>
      <c r="L37" s="417"/>
      <c r="M37" s="139"/>
      <c r="N37" s="139"/>
      <c r="O37" s="139"/>
      <c r="P37" s="139"/>
      <c r="Q37" s="139"/>
      <c r="S37" s="470" t="s">
        <v>438</v>
      </c>
      <c r="T37" s="470"/>
      <c r="U37" s="471"/>
      <c r="V37" s="472" t="str">
        <f aca="false">IF(TITLE_NUMBER_PR_CHANGE="",IF(TITLE_NUMBER_PR="","",TITLE_NUMBER_PR),TITLE_NUMBER_PR_CHANGE)</f>
        <v>403-гвс, 404-гвс, 406-гвс</v>
      </c>
      <c r="W37" s="472"/>
      <c r="X37" s="472"/>
      <c r="Y37" s="472"/>
      <c r="Z37" s="472"/>
      <c r="AA37" s="472"/>
      <c r="AB37" s="472"/>
      <c r="AC37" s="42"/>
      <c r="AD37" s="472" t="str">
        <f aca="false">IF(TITLE_NUMBER_PR_CHANGE="",IF(TITLE_NUMBER_PR="","",TITLE_NUMBER_PR),TITLE_NUMBER_PR_CHANGE)</f>
        <v>403-гвс, 404-гвс, 406-гвс</v>
      </c>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2"/>
      <c r="BB37" s="42"/>
      <c r="BC37" s="473"/>
      <c r="BD37" s="117"/>
      <c r="BE37" s="117"/>
      <c r="BF37" s="117"/>
      <c r="BG37" s="117"/>
      <c r="BH37" s="117"/>
    </row>
    <row r="38" s="174" customFormat="true" ht="12.8" hidden="false" customHeight="false" outlineLevel="0" collapsed="false">
      <c r="A38" s="139"/>
      <c r="B38" s="139"/>
      <c r="C38" s="139"/>
      <c r="D38" s="139"/>
      <c r="E38" s="139"/>
      <c r="F38" s="139"/>
      <c r="G38" s="139"/>
      <c r="H38" s="139"/>
      <c r="I38" s="139"/>
      <c r="J38" s="139"/>
      <c r="K38" s="139"/>
      <c r="L38" s="417"/>
      <c r="M38" s="139"/>
      <c r="N38" s="139"/>
      <c r="O38" s="139"/>
      <c r="P38" s="139"/>
      <c r="Q38" s="139"/>
      <c r="S38" s="42"/>
      <c r="T38" s="42"/>
      <c r="U38" s="127"/>
      <c r="V38" s="42"/>
      <c r="W38" s="42"/>
      <c r="X38" s="42"/>
      <c r="Y38" s="42"/>
      <c r="Z38" s="42"/>
      <c r="AA38" s="42"/>
      <c r="AB38" s="42"/>
      <c r="AC38" s="47" t="s">
        <v>441</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7" t="s">
        <v>441</v>
      </c>
      <c r="BD38" s="117"/>
      <c r="BE38" s="117"/>
      <c r="BF38" s="117"/>
      <c r="BG38" s="117"/>
      <c r="BH38" s="117"/>
    </row>
    <row r="39" customFormat="false" ht="14.25" hidden="false" customHeight="true" outlineLevel="0" collapsed="false">
      <c r="Q39" s="551"/>
      <c r="R39" s="467"/>
      <c r="S39" s="468"/>
      <c r="T39" s="79"/>
      <c r="U39" s="475"/>
      <c r="V39" s="476"/>
      <c r="W39" s="476"/>
      <c r="X39" s="476"/>
      <c r="Y39" s="476"/>
      <c r="Z39" s="476"/>
      <c r="AA39" s="476"/>
      <c r="AB39" s="476"/>
      <c r="AC39" s="476"/>
      <c r="AD39" s="476"/>
      <c r="AE39" s="476"/>
      <c r="AF39" s="476"/>
      <c r="AG39" s="476"/>
      <c r="AH39" s="476"/>
      <c r="AI39" s="476"/>
      <c r="AJ39" s="476"/>
      <c r="AK39" s="476"/>
      <c r="AL39" s="476"/>
      <c r="AM39" s="476"/>
      <c r="AN39" s="476"/>
      <c r="AO39" s="476"/>
      <c r="AP39" s="476"/>
      <c r="AQ39" s="476"/>
      <c r="AR39" s="476"/>
      <c r="AS39" s="476"/>
      <c r="AT39" s="476"/>
      <c r="AU39" s="476"/>
      <c r="AV39" s="476"/>
      <c r="AW39" s="476"/>
      <c r="AX39" s="476"/>
      <c r="AY39" s="476"/>
      <c r="AZ39" s="476"/>
      <c r="BA39" s="476"/>
    </row>
    <row r="40" customFormat="false" ht="14.25" hidden="false" customHeight="true" outlineLevel="0" collapsed="false">
      <c r="Q40" s="551"/>
      <c r="R40" s="467"/>
      <c r="S40" s="133" t="s">
        <v>316</v>
      </c>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t="s">
        <v>317</v>
      </c>
    </row>
    <row r="41" customFormat="false" ht="14.25" hidden="false" customHeight="true" outlineLevel="0" collapsed="false">
      <c r="Q41" s="551"/>
      <c r="R41" s="467"/>
      <c r="S41" s="419" t="s">
        <v>84</v>
      </c>
      <c r="T41" s="394" t="s">
        <v>521</v>
      </c>
      <c r="U41" s="478"/>
      <c r="V41" s="300" t="s">
        <v>443</v>
      </c>
      <c r="W41" s="300"/>
      <c r="X41" s="300"/>
      <c r="Y41" s="300"/>
      <c r="Z41" s="300"/>
      <c r="AA41" s="300"/>
      <c r="AB41" s="300"/>
      <c r="AC41" s="394" t="s">
        <v>444</v>
      </c>
      <c r="AD41" s="300" t="s">
        <v>522</v>
      </c>
      <c r="AE41" s="300"/>
      <c r="AF41" s="300"/>
      <c r="AG41" s="300"/>
      <c r="AH41" s="300" t="s">
        <v>523</v>
      </c>
      <c r="AI41" s="300"/>
      <c r="AJ41" s="300"/>
      <c r="AK41" s="300"/>
      <c r="AL41" s="300" t="s">
        <v>524</v>
      </c>
      <c r="AM41" s="300"/>
      <c r="AN41" s="300"/>
      <c r="AO41" s="300"/>
      <c r="AP41" s="300" t="s">
        <v>525</v>
      </c>
      <c r="AQ41" s="300"/>
      <c r="AR41" s="300"/>
      <c r="AS41" s="300"/>
      <c r="AT41" s="300" t="s">
        <v>443</v>
      </c>
      <c r="AU41" s="300"/>
      <c r="AV41" s="300"/>
      <c r="AW41" s="300"/>
      <c r="AX41" s="300"/>
      <c r="AY41" s="300"/>
      <c r="AZ41" s="300"/>
      <c r="BA41" s="394" t="s">
        <v>444</v>
      </c>
      <c r="BB41" s="479" t="s">
        <v>446</v>
      </c>
      <c r="BC41" s="133"/>
    </row>
    <row r="42" customFormat="false" ht="33.75" hidden="false" customHeight="true" outlineLevel="0" collapsed="false">
      <c r="Q42" s="551"/>
      <c r="R42" s="467"/>
      <c r="S42" s="419"/>
      <c r="T42" s="394"/>
      <c r="U42" s="480"/>
      <c r="V42" s="133" t="s">
        <v>526</v>
      </c>
      <c r="W42" s="133"/>
      <c r="X42" s="133" t="s">
        <v>527</v>
      </c>
      <c r="Y42" s="133"/>
      <c r="Z42" s="133" t="s">
        <v>528</v>
      </c>
      <c r="AA42" s="133"/>
      <c r="AB42" s="133"/>
      <c r="AC42" s="394"/>
      <c r="AD42" s="300"/>
      <c r="AE42" s="300"/>
      <c r="AF42" s="300"/>
      <c r="AG42" s="300"/>
      <c r="AH42" s="300"/>
      <c r="AI42" s="300"/>
      <c r="AJ42" s="300"/>
      <c r="AK42" s="300"/>
      <c r="AL42" s="300"/>
      <c r="AM42" s="300"/>
      <c r="AN42" s="300"/>
      <c r="AO42" s="300"/>
      <c r="AP42" s="300"/>
      <c r="AQ42" s="300"/>
      <c r="AR42" s="300"/>
      <c r="AS42" s="300"/>
      <c r="AT42" s="133" t="s">
        <v>526</v>
      </c>
      <c r="AU42" s="133"/>
      <c r="AV42" s="133" t="s">
        <v>527</v>
      </c>
      <c r="AW42" s="133"/>
      <c r="AX42" s="133" t="s">
        <v>528</v>
      </c>
      <c r="AY42" s="133"/>
      <c r="AZ42" s="133"/>
      <c r="BA42" s="394"/>
      <c r="BB42" s="479"/>
      <c r="BC42" s="133"/>
    </row>
    <row r="43" customFormat="false" ht="14.25" hidden="false" customHeight="true" outlineLevel="0" collapsed="false">
      <c r="Q43" s="551"/>
      <c r="R43" s="467"/>
      <c r="S43" s="419"/>
      <c r="T43" s="394"/>
      <c r="U43" s="480"/>
      <c r="V43" s="133"/>
      <c r="W43" s="133"/>
      <c r="X43" s="133"/>
      <c r="Y43" s="133"/>
      <c r="Z43" s="133"/>
      <c r="AA43" s="133"/>
      <c r="AB43" s="133"/>
      <c r="AC43" s="394"/>
      <c r="AD43" s="300"/>
      <c r="AE43" s="300"/>
      <c r="AF43" s="300"/>
      <c r="AG43" s="300"/>
      <c r="AH43" s="300"/>
      <c r="AI43" s="300"/>
      <c r="AJ43" s="300"/>
      <c r="AK43" s="300"/>
      <c r="AL43" s="300"/>
      <c r="AM43" s="300"/>
      <c r="AN43" s="300"/>
      <c r="AO43" s="300"/>
      <c r="AP43" s="300"/>
      <c r="AQ43" s="300"/>
      <c r="AR43" s="300"/>
      <c r="AS43" s="300"/>
      <c r="AT43" s="133"/>
      <c r="AU43" s="133"/>
      <c r="AV43" s="133"/>
      <c r="AW43" s="133"/>
      <c r="AX43" s="133"/>
      <c r="AY43" s="133"/>
      <c r="AZ43" s="133"/>
      <c r="BA43" s="394"/>
      <c r="BB43" s="479"/>
      <c r="BC43" s="133"/>
    </row>
    <row r="44" customFormat="false" ht="14.25" hidden="false" customHeight="true" outlineLevel="0" collapsed="false">
      <c r="A44" s="139"/>
      <c r="B44" s="139" t="s">
        <v>142</v>
      </c>
      <c r="C44" s="139" t="s">
        <v>143</v>
      </c>
      <c r="D44" s="139" t="s">
        <v>144</v>
      </c>
      <c r="E44" s="417" t="s">
        <v>451</v>
      </c>
      <c r="F44" s="417" t="s">
        <v>452</v>
      </c>
      <c r="G44" s="417" t="s">
        <v>453</v>
      </c>
      <c r="H44" s="417" t="s">
        <v>454</v>
      </c>
      <c r="I44" s="417" t="s">
        <v>455</v>
      </c>
      <c r="J44" s="417" t="s">
        <v>456</v>
      </c>
      <c r="K44" s="417" t="s">
        <v>457</v>
      </c>
      <c r="L44" s="417" t="s">
        <v>432</v>
      </c>
      <c r="Q44" s="551"/>
      <c r="R44" s="467"/>
      <c r="S44" s="419"/>
      <c r="T44" s="394"/>
      <c r="U44" s="481"/>
      <c r="V44" s="394" t="s">
        <v>492</v>
      </c>
      <c r="W44" s="394" t="s">
        <v>493</v>
      </c>
      <c r="X44" s="394" t="s">
        <v>492</v>
      </c>
      <c r="Y44" s="394" t="s">
        <v>493</v>
      </c>
      <c r="Z44" s="184" t="s">
        <v>460</v>
      </c>
      <c r="AA44" s="184" t="s">
        <v>461</v>
      </c>
      <c r="AB44" s="184"/>
      <c r="AC44" s="394"/>
      <c r="AD44" s="300"/>
      <c r="AE44" s="300"/>
      <c r="AF44" s="300"/>
      <c r="AG44" s="300"/>
      <c r="AH44" s="300"/>
      <c r="AI44" s="300"/>
      <c r="AJ44" s="300"/>
      <c r="AK44" s="300"/>
      <c r="AL44" s="300"/>
      <c r="AM44" s="300"/>
      <c r="AN44" s="300"/>
      <c r="AO44" s="300"/>
      <c r="AP44" s="300"/>
      <c r="AQ44" s="300"/>
      <c r="AR44" s="300"/>
      <c r="AS44" s="300"/>
      <c r="AT44" s="394" t="s">
        <v>492</v>
      </c>
      <c r="AU44" s="394" t="s">
        <v>493</v>
      </c>
      <c r="AV44" s="394" t="s">
        <v>492</v>
      </c>
      <c r="AW44" s="394" t="s">
        <v>493</v>
      </c>
      <c r="AX44" s="184" t="s">
        <v>460</v>
      </c>
      <c r="AY44" s="184" t="s">
        <v>461</v>
      </c>
      <c r="AZ44" s="184"/>
      <c r="BA44" s="394"/>
      <c r="BB44" s="479"/>
      <c r="BC44" s="133"/>
    </row>
    <row r="45" s="119" customFormat="true" ht="11.25" hidden="true" customHeight="true" outlineLevel="0" collapsed="false">
      <c r="A45" s="139"/>
      <c r="B45" s="139"/>
      <c r="C45" s="139"/>
      <c r="D45" s="139"/>
      <c r="E45" s="139"/>
      <c r="F45" s="139"/>
      <c r="G45" s="139"/>
      <c r="H45" s="139"/>
      <c r="I45" s="139"/>
      <c r="J45" s="139"/>
      <c r="K45" s="139"/>
      <c r="L45" s="417"/>
      <c r="M45" s="51"/>
      <c r="N45" s="51"/>
      <c r="O45" s="51"/>
      <c r="P45" s="510"/>
      <c r="Q45" s="484"/>
      <c r="R45" s="484" t="n">
        <v>1</v>
      </c>
      <c r="S45" s="485" t="s">
        <v>117</v>
      </c>
      <c r="T45" s="486" t="s">
        <v>99</v>
      </c>
      <c r="U45" s="487" t="str">
        <f aca="true">OFFSET(U45,0,-1)</f>
        <v>2</v>
      </c>
      <c r="V45" s="488" t="n">
        <f aca="true">OFFSET(V45,0,-1)+1</f>
        <v>3</v>
      </c>
      <c r="W45" s="488" t="n">
        <f aca="true">OFFSET(W45,0,-1)+1</f>
        <v>4</v>
      </c>
      <c r="X45" s="488" t="n">
        <f aca="true">OFFSET(X45,0,-1)+1</f>
        <v>5</v>
      </c>
      <c r="Y45" s="488" t="n">
        <f aca="true">OFFSET(Y45,0,-1)+1</f>
        <v>6</v>
      </c>
      <c r="Z45" s="488" t="n">
        <f aca="true">OFFSET(Z45,0,-1)+1</f>
        <v>7</v>
      </c>
      <c r="AA45" s="488" t="n">
        <f aca="true">OFFSET(AA45,0,-1)+1</f>
        <v>8</v>
      </c>
      <c r="AB45" s="488"/>
      <c r="AC45" s="488" t="n">
        <f aca="true">OFFSET(AC45,0,-2)+1</f>
        <v>9</v>
      </c>
      <c r="AD45" s="488" t="n">
        <f aca="true">OFFSET(AD45,0,-1)+1</f>
        <v>10</v>
      </c>
      <c r="AE45" s="488"/>
      <c r="AF45" s="488"/>
      <c r="AG45" s="488"/>
      <c r="AH45" s="488"/>
      <c r="AI45" s="488"/>
      <c r="AJ45" s="488"/>
      <c r="AK45" s="488"/>
      <c r="AL45" s="488"/>
      <c r="AM45" s="488"/>
      <c r="AN45" s="488"/>
      <c r="AO45" s="488"/>
      <c r="AP45" s="488"/>
      <c r="AQ45" s="488"/>
      <c r="AR45" s="488"/>
      <c r="AS45" s="488"/>
      <c r="AT45" s="488"/>
      <c r="AU45" s="488"/>
      <c r="AV45" s="488"/>
      <c r="AW45" s="488" t="n">
        <f aca="true">OFFSET(AW45,0,-1)+1</f>
        <v>1</v>
      </c>
      <c r="AX45" s="488" t="n">
        <f aca="true">OFFSET(AX45,0,-1)+1</f>
        <v>2</v>
      </c>
      <c r="AY45" s="488" t="n">
        <f aca="true">OFFSET(AY45,0,-1)+1</f>
        <v>3</v>
      </c>
      <c r="AZ45" s="488"/>
      <c r="BA45" s="488" t="n">
        <f aca="true">OFFSET(BA45,0,-2)+1</f>
        <v>4</v>
      </c>
      <c r="BB45" s="487" t="n">
        <f aca="true">OFFSET(BB45,0,-1)</f>
        <v>4</v>
      </c>
      <c r="BC45" s="488" t="n">
        <f aca="true">OFFSET(BC45,0,-1)+1</f>
        <v>5</v>
      </c>
      <c r="BD45" s="47"/>
      <c r="BE45" s="47"/>
      <c r="BF45" s="47"/>
      <c r="BG45" s="47"/>
      <c r="BH45" s="47"/>
    </row>
    <row r="46" customFormat="false" ht="21" hidden="false" customHeight="true" outlineLevel="0" collapsed="false">
      <c r="A46" s="415" t="s">
        <v>251</v>
      </c>
      <c r="B46" s="415"/>
      <c r="C46" s="415"/>
      <c r="D46" s="415"/>
      <c r="E46" s="416" t="n">
        <v>1</v>
      </c>
      <c r="F46" s="415"/>
      <c r="G46" s="415"/>
      <c r="H46" s="415"/>
      <c r="I46" s="415"/>
      <c r="J46" s="415"/>
      <c r="K46" s="415"/>
      <c r="L46" s="417"/>
      <c r="M46" s="40"/>
      <c r="N46" s="40"/>
      <c r="O46" s="40"/>
      <c r="Q46" s="54"/>
      <c r="R46" s="418"/>
      <c r="S46" s="419" t="n">
        <f aca="false">INDEX(PT_DIFFERENTIATION_NUM_NTAR,MATCH(A46,PT_DIFFERENTIATION_NTAR_ID,0))</f>
        <v>0</v>
      </c>
      <c r="T46" s="420" t="s">
        <v>130</v>
      </c>
      <c r="U46" s="421"/>
      <c r="V46" s="523"/>
      <c r="W46" s="523"/>
      <c r="X46" s="523"/>
      <c r="Y46" s="523"/>
      <c r="Z46" s="523"/>
      <c r="AA46" s="523"/>
      <c r="AB46" s="523"/>
      <c r="AC46" s="523"/>
      <c r="AD46" s="423" t="str">
        <f aca="false">INDEX(PT_DIFFERENTIATION_NTAR,MATCH(A46,PT_DIFFERENTIATION_NTAR_ID,0))</f>
        <v/>
      </c>
      <c r="AE46" s="423"/>
      <c r="AF46" s="423"/>
      <c r="AG46" s="423"/>
      <c r="AH46" s="423"/>
      <c r="AI46" s="423"/>
      <c r="AJ46" s="423"/>
      <c r="AK46" s="423"/>
      <c r="AL46" s="423"/>
      <c r="AM46" s="423"/>
      <c r="AN46" s="423"/>
      <c r="AO46" s="423"/>
      <c r="AP46" s="423"/>
      <c r="AQ46" s="423"/>
      <c r="AR46" s="423"/>
      <c r="AS46" s="423"/>
      <c r="AT46" s="423"/>
      <c r="AU46" s="423"/>
      <c r="AV46" s="423"/>
      <c r="AW46" s="423"/>
      <c r="AX46" s="423"/>
      <c r="AY46" s="423"/>
      <c r="AZ46" s="423"/>
      <c r="BA46" s="423"/>
      <c r="BB46" s="423"/>
      <c r="BC46" s="42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7"/>
      <c r="BF46" s="117" t="str">
        <f aca="false">IF(T46="","",T46)</f>
        <v>Наименование тарифа</v>
      </c>
      <c r="BG46" s="117"/>
      <c r="BH46" s="117"/>
    </row>
    <row r="47" customFormat="false" ht="21" hidden="false" customHeight="true" outlineLevel="0" collapsed="false">
      <c r="A47" s="415" t="s">
        <v>251</v>
      </c>
      <c r="B47" s="415" t="s">
        <v>252</v>
      </c>
      <c r="C47" s="415"/>
      <c r="D47" s="415"/>
      <c r="E47" s="416"/>
      <c r="F47" s="416" t="n">
        <v>1</v>
      </c>
      <c r="G47" s="415"/>
      <c r="H47" s="415"/>
      <c r="I47" s="415"/>
      <c r="J47" s="415"/>
      <c r="K47" s="415"/>
      <c r="L47" s="417"/>
      <c r="M47" s="40"/>
      <c r="N47" s="40"/>
      <c r="O47" s="40"/>
      <c r="P47" s="44"/>
      <c r="Q47" s="524"/>
      <c r="R47" s="426"/>
      <c r="S47" s="419" t="str">
        <f aca="false">INDEX(PT_DIFFERENTIATION_NUM_TER,MATCH(B47,PT_DIFFERENTIATION_TER_ID,0))</f>
        <v>.</v>
      </c>
      <c r="T47" s="427" t="s">
        <v>413</v>
      </c>
      <c r="U47" s="421"/>
      <c r="V47" s="523"/>
      <c r="W47" s="523"/>
      <c r="X47" s="523"/>
      <c r="Y47" s="523"/>
      <c r="Z47" s="523"/>
      <c r="AA47" s="523"/>
      <c r="AB47" s="523"/>
      <c r="AC47" s="523"/>
      <c r="AD47" s="423" t="str">
        <f aca="false">INDEX(PT_DIFFERENTIATION_TER,MATCH(B47,PT_DIFFERENTIATION_TER_ID,0))</f>
        <v/>
      </c>
      <c r="AE47" s="423"/>
      <c r="AF47" s="423"/>
      <c r="AG47" s="423"/>
      <c r="AH47" s="423"/>
      <c r="AI47" s="423"/>
      <c r="AJ47" s="423"/>
      <c r="AK47" s="423"/>
      <c r="AL47" s="423"/>
      <c r="AM47" s="423"/>
      <c r="AN47" s="423"/>
      <c r="AO47" s="423"/>
      <c r="AP47" s="423"/>
      <c r="AQ47" s="423"/>
      <c r="AR47" s="423"/>
      <c r="AS47" s="423"/>
      <c r="AT47" s="423"/>
      <c r="AU47" s="423"/>
      <c r="AV47" s="423"/>
      <c r="AW47" s="423"/>
      <c r="AX47" s="423"/>
      <c r="AY47" s="423"/>
      <c r="AZ47" s="423"/>
      <c r="BA47" s="423"/>
      <c r="BB47" s="423"/>
      <c r="BC47" s="424" t="s">
        <v>414</v>
      </c>
      <c r="BE47" s="117"/>
      <c r="BF47" s="117" t="str">
        <f aca="false">IF(T47="","",T47)</f>
        <v>Территория действия тарифа</v>
      </c>
      <c r="BG47" s="117"/>
      <c r="BH47" s="117"/>
    </row>
    <row r="48" customFormat="false" ht="42" hidden="false" customHeight="true" outlineLevel="0" collapsed="false">
      <c r="A48" s="415" t="s">
        <v>251</v>
      </c>
      <c r="B48" s="415" t="s">
        <v>252</v>
      </c>
      <c r="C48" s="415" t="s">
        <v>253</v>
      </c>
      <c r="D48" s="415"/>
      <c r="E48" s="416"/>
      <c r="F48" s="416"/>
      <c r="G48" s="416" t="n">
        <v>1</v>
      </c>
      <c r="H48" s="415"/>
      <c r="I48" s="415"/>
      <c r="J48" s="415"/>
      <c r="K48" s="415"/>
      <c r="L48" s="417"/>
      <c r="M48" s="40"/>
      <c r="N48" s="40"/>
      <c r="O48" s="40"/>
      <c r="P48" s="126"/>
      <c r="Q48" s="524"/>
      <c r="R48" s="426"/>
      <c r="S48" s="419" t="str">
        <f aca="false">INDEX(PT_DIFFERENTIATION_NUM_CS,MATCH(C48,PT_DIFFERENTIATION_CS_ID,0))</f>
        <v>..</v>
      </c>
      <c r="T48" s="429" t="s">
        <v>495</v>
      </c>
      <c r="U48" s="421"/>
      <c r="V48" s="523"/>
      <c r="W48" s="523"/>
      <c r="X48" s="523"/>
      <c r="Y48" s="523"/>
      <c r="Z48" s="523"/>
      <c r="AA48" s="523"/>
      <c r="AB48" s="523"/>
      <c r="AC48" s="523"/>
      <c r="AD48" s="423" t="str">
        <f aca="false">INDEX(PT_DIFFERENTIATION_CS,MATCH(C48,PT_DIFFERENTIATION_CS_ID,0))</f>
        <v/>
      </c>
      <c r="AE48" s="423"/>
      <c r="AF48" s="423"/>
      <c r="AG48" s="423"/>
      <c r="AH48" s="423"/>
      <c r="AI48" s="423"/>
      <c r="AJ48" s="423"/>
      <c r="AK48" s="423"/>
      <c r="AL48" s="423"/>
      <c r="AM48" s="423"/>
      <c r="AN48" s="423"/>
      <c r="AO48" s="423"/>
      <c r="AP48" s="423"/>
      <c r="AQ48" s="423"/>
      <c r="AR48" s="423"/>
      <c r="AS48" s="423"/>
      <c r="AT48" s="423"/>
      <c r="AU48" s="423"/>
      <c r="AV48" s="423"/>
      <c r="AW48" s="423"/>
      <c r="AX48" s="423"/>
      <c r="AY48" s="423"/>
      <c r="AZ48" s="423"/>
      <c r="BA48" s="423"/>
      <c r="BB48" s="423"/>
      <c r="BC48" s="424" t="s">
        <v>496</v>
      </c>
      <c r="BE48" s="117"/>
      <c r="BF48" s="117" t="str">
        <f aca="false">IF(T48="","",T48)</f>
        <v>Наименование централизованной системы холодного водоснабжения</v>
      </c>
      <c r="BG48" s="117"/>
      <c r="BH48" s="117"/>
    </row>
    <row r="49" s="47" customFormat="true" ht="12.8" hidden="false" customHeight="false" outlineLevel="0" collapsed="false">
      <c r="A49" s="121" t="s">
        <v>251</v>
      </c>
      <c r="B49" s="121" t="s">
        <v>252</v>
      </c>
      <c r="C49" s="121" t="s">
        <v>253</v>
      </c>
      <c r="D49" s="121" t="s">
        <v>529</v>
      </c>
      <c r="E49" s="416"/>
      <c r="F49" s="416"/>
      <c r="G49" s="416"/>
      <c r="H49" s="416" t="n">
        <v>1</v>
      </c>
      <c r="I49" s="121"/>
      <c r="J49" s="121"/>
      <c r="K49" s="121"/>
      <c r="L49" s="191"/>
      <c r="M49" s="46"/>
      <c r="N49" s="46"/>
      <c r="O49" s="46"/>
      <c r="P49" s="581"/>
      <c r="Q49" s="582"/>
      <c r="R49" s="435"/>
      <c r="S49" s="305"/>
      <c r="T49" s="583"/>
      <c r="U49" s="503"/>
      <c r="V49" s="525"/>
      <c r="W49" s="525"/>
      <c r="X49" s="525"/>
      <c r="Y49" s="525"/>
      <c r="Z49" s="525"/>
      <c r="AA49" s="525"/>
      <c r="AB49" s="525"/>
      <c r="AC49" s="525"/>
      <c r="AD49" s="504"/>
      <c r="AE49" s="504"/>
      <c r="AF49" s="504"/>
      <c r="AG49" s="504"/>
      <c r="AH49" s="504"/>
      <c r="AI49" s="504"/>
      <c r="AJ49" s="504"/>
      <c r="AK49" s="504"/>
      <c r="AL49" s="504"/>
      <c r="AM49" s="504"/>
      <c r="AN49" s="504"/>
      <c r="AO49" s="504"/>
      <c r="AP49" s="504"/>
      <c r="AQ49" s="504"/>
      <c r="AR49" s="504"/>
      <c r="AS49" s="504"/>
      <c r="AT49" s="504"/>
      <c r="AU49" s="504"/>
      <c r="AV49" s="504"/>
      <c r="AW49" s="504"/>
      <c r="AX49" s="504"/>
      <c r="AY49" s="504"/>
      <c r="AZ49" s="504"/>
      <c r="BA49" s="504"/>
      <c r="BB49" s="504"/>
      <c r="BC49" s="505" t="s">
        <v>418</v>
      </c>
      <c r="BE49" s="117"/>
      <c r="BF49" s="117" t="str">
        <f aca="false">IF(T49="","",T49)</f>
        <v/>
      </c>
      <c r="BG49" s="117"/>
      <c r="BH49" s="117"/>
    </row>
    <row r="50" s="47" customFormat="true" ht="12.8" hidden="false" customHeight="false" outlineLevel="0" collapsed="false">
      <c r="A50" s="121" t="s">
        <v>251</v>
      </c>
      <c r="B50" s="121" t="s">
        <v>252</v>
      </c>
      <c r="C50" s="121" t="s">
        <v>253</v>
      </c>
      <c r="D50" s="121" t="s">
        <v>529</v>
      </c>
      <c r="E50" s="416"/>
      <c r="F50" s="416"/>
      <c r="G50" s="416"/>
      <c r="H50" s="416"/>
      <c r="I50" s="431" t="str">
        <f aca="false">S49&amp;".1"</f>
        <v>.1</v>
      </c>
      <c r="J50" s="121"/>
      <c r="K50" s="121"/>
      <c r="L50" s="191" t="s">
        <v>419</v>
      </c>
      <c r="M50" s="510"/>
      <c r="N50" s="510"/>
      <c r="O50" s="510"/>
      <c r="P50" s="120" t="n">
        <v>1</v>
      </c>
      <c r="Q50" s="120"/>
      <c r="R50" s="432"/>
      <c r="S50" s="305"/>
      <c r="T50" s="502"/>
      <c r="U50" s="503"/>
      <c r="V50" s="525"/>
      <c r="W50" s="525"/>
      <c r="X50" s="525"/>
      <c r="Y50" s="525"/>
      <c r="Z50" s="525"/>
      <c r="AA50" s="525"/>
      <c r="AB50" s="525"/>
      <c r="AC50" s="525"/>
      <c r="AD50" s="504"/>
      <c r="AE50" s="504"/>
      <c r="AF50" s="504"/>
      <c r="AG50" s="504"/>
      <c r="AH50" s="504"/>
      <c r="AI50" s="504"/>
      <c r="AJ50" s="504"/>
      <c r="AK50" s="504"/>
      <c r="AL50" s="504"/>
      <c r="AM50" s="504"/>
      <c r="AN50" s="504"/>
      <c r="AO50" s="504"/>
      <c r="AP50" s="504"/>
      <c r="AQ50" s="504"/>
      <c r="AR50" s="504"/>
      <c r="AS50" s="504"/>
      <c r="AT50" s="504"/>
      <c r="AU50" s="504"/>
      <c r="AV50" s="504"/>
      <c r="AW50" s="504"/>
      <c r="AX50" s="504"/>
      <c r="AY50" s="504"/>
      <c r="AZ50" s="504"/>
      <c r="BA50" s="504"/>
      <c r="BB50" s="504"/>
      <c r="BC50" s="505"/>
      <c r="BE50" s="117"/>
      <c r="BF50" s="117" t="str">
        <f aca="false">IF(T50="","",T50)</f>
        <v/>
      </c>
      <c r="BG50" s="117"/>
      <c r="BH50" s="117"/>
    </row>
    <row r="51" s="47" customFormat="true" ht="12.8" hidden="false" customHeight="false" outlineLevel="0" collapsed="false">
      <c r="A51" s="121" t="s">
        <v>251</v>
      </c>
      <c r="B51" s="121" t="s">
        <v>252</v>
      </c>
      <c r="C51" s="121" t="s">
        <v>253</v>
      </c>
      <c r="D51" s="121" t="s">
        <v>529</v>
      </c>
      <c r="E51" s="416"/>
      <c r="F51" s="416"/>
      <c r="G51" s="416"/>
      <c r="H51" s="416"/>
      <c r="I51" s="431"/>
      <c r="J51" s="431" t="str">
        <f aca="false">S49&amp;".1"</f>
        <v>.1</v>
      </c>
      <c r="K51" s="121"/>
      <c r="L51" s="191"/>
      <c r="M51" s="510"/>
      <c r="N51" s="510"/>
      <c r="O51" s="510"/>
      <c r="P51" s="120"/>
      <c r="Q51" s="120" t="n">
        <v>1</v>
      </c>
      <c r="R51" s="435"/>
      <c r="S51" s="305"/>
      <c r="T51" s="526"/>
      <c r="U51" s="503"/>
      <c r="V51" s="525"/>
      <c r="W51" s="525"/>
      <c r="X51" s="525"/>
      <c r="Y51" s="525"/>
      <c r="Z51" s="525"/>
      <c r="AA51" s="525"/>
      <c r="AB51" s="525"/>
      <c r="AC51" s="525"/>
      <c r="AD51" s="504"/>
      <c r="AE51" s="504"/>
      <c r="AF51" s="504"/>
      <c r="AG51" s="504"/>
      <c r="AH51" s="504"/>
      <c r="AI51" s="504"/>
      <c r="AJ51" s="504"/>
      <c r="AK51" s="504"/>
      <c r="AL51" s="504"/>
      <c r="AM51" s="504"/>
      <c r="AN51" s="504"/>
      <c r="AO51" s="504"/>
      <c r="AP51" s="504"/>
      <c r="AQ51" s="504"/>
      <c r="AR51" s="504"/>
      <c r="AS51" s="504"/>
      <c r="AT51" s="504"/>
      <c r="AU51" s="504"/>
      <c r="AV51" s="504"/>
      <c r="AW51" s="504"/>
      <c r="AX51" s="504"/>
      <c r="AY51" s="504"/>
      <c r="AZ51" s="504"/>
      <c r="BA51" s="504"/>
      <c r="BB51" s="504"/>
      <c r="BC51" s="505"/>
      <c r="BE51" s="117"/>
      <c r="BF51" s="117" t="str">
        <f aca="false">IF(T51="","",T51)</f>
        <v/>
      </c>
      <c r="BG51" s="117"/>
      <c r="BH51" s="117"/>
    </row>
    <row r="52" customFormat="false" ht="11.25" hidden="false" customHeight="true" outlineLevel="0" collapsed="false">
      <c r="A52" s="415" t="s">
        <v>251</v>
      </c>
      <c r="B52" s="415" t="s">
        <v>252</v>
      </c>
      <c r="C52" s="415" t="s">
        <v>253</v>
      </c>
      <c r="D52" s="415" t="s">
        <v>529</v>
      </c>
      <c r="E52" s="416"/>
      <c r="F52" s="416"/>
      <c r="G52" s="416"/>
      <c r="H52" s="416"/>
      <c r="I52" s="431"/>
      <c r="J52" s="431"/>
      <c r="K52" s="431" t="str">
        <f aca="false">S48&amp;".1"</f>
        <v>...1</v>
      </c>
      <c r="L52" s="417"/>
      <c r="P52" s="120"/>
      <c r="Q52" s="120"/>
      <c r="R52" s="435" t="n">
        <v>1</v>
      </c>
      <c r="S52" s="477" t="str">
        <f aca="false">$K52</f>
        <v>...1</v>
      </c>
      <c r="T52" s="562"/>
      <c r="U52" s="421"/>
      <c r="V52" s="438"/>
      <c r="W52" s="440"/>
      <c r="X52" s="438"/>
      <c r="Y52" s="440"/>
      <c r="Z52" s="441"/>
      <c r="AA52" s="203" t="s">
        <v>63</v>
      </c>
      <c r="AB52" s="441"/>
      <c r="AC52" s="203" t="s">
        <v>63</v>
      </c>
      <c r="AD52" s="203" t="s">
        <v>63</v>
      </c>
      <c r="AE52" s="529"/>
      <c r="AF52" s="301" t="n">
        <v>1</v>
      </c>
      <c r="AG52" s="580"/>
      <c r="AH52" s="203" t="s">
        <v>63</v>
      </c>
      <c r="AI52" s="529"/>
      <c r="AJ52" s="301" t="n">
        <v>1</v>
      </c>
      <c r="AK52" s="584"/>
      <c r="AL52" s="203" t="s">
        <v>63</v>
      </c>
      <c r="AM52" s="269"/>
      <c r="AN52" s="301" t="n">
        <v>1</v>
      </c>
      <c r="AO52" s="585"/>
      <c r="AP52" s="586" t="s">
        <v>63</v>
      </c>
      <c r="AQ52" s="530"/>
      <c r="AR52" s="301" t="n">
        <v>1</v>
      </c>
      <c r="AS52" s="83"/>
      <c r="AT52" s="438"/>
      <c r="AU52" s="440"/>
      <c r="AV52" s="438"/>
      <c r="AW52" s="440"/>
      <c r="AX52" s="441"/>
      <c r="AY52" s="203" t="s">
        <v>63</v>
      </c>
      <c r="AZ52" s="441"/>
      <c r="BA52" s="203" t="s">
        <v>63</v>
      </c>
      <c r="BB52" s="489"/>
      <c r="BC52" s="442" t="s">
        <v>515</v>
      </c>
      <c r="BE52" s="117"/>
      <c r="BF52" s="117" t="str">
        <f aca="false">IF(T52="","",T52)</f>
        <v/>
      </c>
      <c r="BG52" s="117"/>
      <c r="BH52" s="117"/>
    </row>
    <row r="53" customFormat="false" ht="11.25" hidden="false" customHeight="true" outlineLevel="0" collapsed="false">
      <c r="A53" s="415"/>
      <c r="B53" s="415"/>
      <c r="C53" s="415"/>
      <c r="D53" s="415"/>
      <c r="E53" s="416"/>
      <c r="F53" s="416"/>
      <c r="G53" s="416"/>
      <c r="H53" s="416"/>
      <c r="I53" s="431"/>
      <c r="J53" s="431"/>
      <c r="K53" s="431"/>
      <c r="L53" s="417"/>
      <c r="P53" s="120"/>
      <c r="Q53" s="120"/>
      <c r="R53" s="435"/>
      <c r="S53" s="477"/>
      <c r="T53" s="562"/>
      <c r="U53" s="421"/>
      <c r="V53" s="519"/>
      <c r="W53" s="533"/>
      <c r="X53" s="519"/>
      <c r="Y53" s="533"/>
      <c r="Z53" s="519"/>
      <c r="AA53" s="519"/>
      <c r="AB53" s="519"/>
      <c r="AC53" s="519"/>
      <c r="AD53" s="203"/>
      <c r="AE53" s="529"/>
      <c r="AF53" s="301"/>
      <c r="AG53" s="580"/>
      <c r="AH53" s="203"/>
      <c r="AI53" s="529"/>
      <c r="AJ53" s="301"/>
      <c r="AK53" s="584"/>
      <c r="AL53" s="203"/>
      <c r="AM53" s="269"/>
      <c r="AN53" s="301"/>
      <c r="AO53" s="585"/>
      <c r="AP53" s="586"/>
      <c r="AQ53" s="532"/>
      <c r="AR53" s="167"/>
      <c r="AS53" s="167" t="s">
        <v>516</v>
      </c>
      <c r="AT53" s="519"/>
      <c r="AU53" s="533"/>
      <c r="AV53" s="519"/>
      <c r="AW53" s="533"/>
      <c r="AX53" s="519"/>
      <c r="AY53" s="519"/>
      <c r="AZ53" s="519"/>
      <c r="BA53" s="519"/>
      <c r="BB53" s="531"/>
      <c r="BC53" s="442"/>
      <c r="BE53" s="117"/>
      <c r="BF53" s="117"/>
      <c r="BG53" s="117"/>
      <c r="BH53" s="117"/>
    </row>
    <row r="54" customFormat="false" ht="11.25" hidden="false" customHeight="true" outlineLevel="0" collapsed="false">
      <c r="A54" s="415" t="s">
        <v>251</v>
      </c>
      <c r="B54" s="415"/>
      <c r="C54" s="415"/>
      <c r="D54" s="415"/>
      <c r="E54" s="416"/>
      <c r="F54" s="416"/>
      <c r="G54" s="416"/>
      <c r="H54" s="416"/>
      <c r="I54" s="431"/>
      <c r="J54" s="431"/>
      <c r="K54" s="431"/>
      <c r="L54" s="417"/>
      <c r="P54" s="120"/>
      <c r="Q54" s="120"/>
      <c r="R54" s="435"/>
      <c r="S54" s="477"/>
      <c r="T54" s="562"/>
      <c r="U54" s="421"/>
      <c r="V54" s="519"/>
      <c r="W54" s="533"/>
      <c r="X54" s="519"/>
      <c r="Y54" s="533"/>
      <c r="Z54" s="519"/>
      <c r="AA54" s="519"/>
      <c r="AB54" s="519"/>
      <c r="AC54" s="519"/>
      <c r="AD54" s="203"/>
      <c r="AE54" s="529"/>
      <c r="AF54" s="301"/>
      <c r="AG54" s="580"/>
      <c r="AH54" s="203"/>
      <c r="AI54" s="529"/>
      <c r="AJ54" s="301"/>
      <c r="AK54" s="584"/>
      <c r="AL54" s="203"/>
      <c r="AM54" s="532"/>
      <c r="AN54" s="587"/>
      <c r="AO54" s="587" t="s">
        <v>517</v>
      </c>
      <c r="AP54" s="167"/>
      <c r="AQ54" s="167"/>
      <c r="AR54" s="167"/>
      <c r="AS54" s="519"/>
      <c r="AT54" s="519"/>
      <c r="AU54" s="533"/>
      <c r="AV54" s="519"/>
      <c r="AW54" s="533"/>
      <c r="AX54" s="519"/>
      <c r="AY54" s="519"/>
      <c r="AZ54" s="519"/>
      <c r="BA54" s="519"/>
      <c r="BB54" s="531"/>
      <c r="BC54" s="442"/>
      <c r="BE54" s="117"/>
      <c r="BF54" s="117"/>
      <c r="BG54" s="117"/>
      <c r="BH54" s="117"/>
    </row>
    <row r="55" customFormat="false" ht="11.25" hidden="false" customHeight="true" outlineLevel="0" collapsed="false">
      <c r="A55" s="415" t="s">
        <v>251</v>
      </c>
      <c r="B55" s="415"/>
      <c r="C55" s="415"/>
      <c r="D55" s="415"/>
      <c r="E55" s="416"/>
      <c r="F55" s="416"/>
      <c r="G55" s="416"/>
      <c r="H55" s="416"/>
      <c r="I55" s="431"/>
      <c r="J55" s="431"/>
      <c r="K55" s="431"/>
      <c r="L55" s="417"/>
      <c r="P55" s="120"/>
      <c r="Q55" s="120"/>
      <c r="R55" s="435"/>
      <c r="S55" s="477"/>
      <c r="T55" s="562"/>
      <c r="U55" s="421"/>
      <c r="V55" s="519"/>
      <c r="W55" s="533"/>
      <c r="X55" s="519"/>
      <c r="Y55" s="533"/>
      <c r="Z55" s="519"/>
      <c r="AA55" s="519"/>
      <c r="AB55" s="519"/>
      <c r="AC55" s="519"/>
      <c r="AD55" s="203"/>
      <c r="AE55" s="529"/>
      <c r="AF55" s="301"/>
      <c r="AG55" s="580"/>
      <c r="AH55" s="203"/>
      <c r="AI55" s="535"/>
      <c r="AJ55" s="160"/>
      <c r="AK55" s="382" t="s">
        <v>518</v>
      </c>
      <c r="AL55" s="519"/>
      <c r="AM55" s="519"/>
      <c r="AN55" s="519"/>
      <c r="AO55" s="519"/>
      <c r="AP55" s="519"/>
      <c r="AQ55" s="519"/>
      <c r="AR55" s="519"/>
      <c r="AS55" s="519"/>
      <c r="AT55" s="519"/>
      <c r="AU55" s="533"/>
      <c r="AV55" s="519"/>
      <c r="AW55" s="533"/>
      <c r="AX55" s="519"/>
      <c r="AY55" s="519"/>
      <c r="AZ55" s="519"/>
      <c r="BA55" s="519"/>
      <c r="BB55" s="531"/>
      <c r="BC55" s="442"/>
      <c r="BE55" s="117"/>
      <c r="BF55" s="117"/>
      <c r="BG55" s="117"/>
      <c r="BH55" s="117"/>
    </row>
    <row r="56" customFormat="false" ht="11.25" hidden="false" customHeight="true" outlineLevel="0" collapsed="false">
      <c r="A56" s="415" t="s">
        <v>251</v>
      </c>
      <c r="B56" s="415" t="s">
        <v>252</v>
      </c>
      <c r="C56" s="415" t="s">
        <v>253</v>
      </c>
      <c r="D56" s="415" t="s">
        <v>529</v>
      </c>
      <c r="E56" s="416"/>
      <c r="F56" s="416"/>
      <c r="G56" s="416"/>
      <c r="H56" s="416"/>
      <c r="I56" s="431"/>
      <c r="J56" s="431"/>
      <c r="K56" s="431"/>
      <c r="L56" s="417"/>
      <c r="P56" s="120"/>
      <c r="Q56" s="120"/>
      <c r="R56" s="435"/>
      <c r="S56" s="477"/>
      <c r="T56" s="562"/>
      <c r="U56" s="421"/>
      <c r="V56" s="519"/>
      <c r="W56" s="520" t="str">
        <f aca="false">Z52&amp;"-"&amp;AB52</f>
        <v>-</v>
      </c>
      <c r="X56" s="519"/>
      <c r="Y56" s="520" t="str">
        <f aca="false">AB52&amp;"-"&amp;AD52</f>
        <v>-да</v>
      </c>
      <c r="Z56" s="519"/>
      <c r="AA56" s="519"/>
      <c r="AB56" s="519"/>
      <c r="AC56" s="519"/>
      <c r="AD56" s="203"/>
      <c r="AE56" s="537"/>
      <c r="AF56" s="538"/>
      <c r="AG56" s="167" t="s">
        <v>519</v>
      </c>
      <c r="AH56" s="519"/>
      <c r="AI56" s="519"/>
      <c r="AJ56" s="519"/>
      <c r="AK56" s="519"/>
      <c r="AL56" s="519"/>
      <c r="AM56" s="519"/>
      <c r="AN56" s="519"/>
      <c r="AO56" s="519"/>
      <c r="AP56" s="519"/>
      <c r="AQ56" s="519"/>
      <c r="AR56" s="519"/>
      <c r="AS56" s="519"/>
      <c r="AT56" s="519"/>
      <c r="AU56" s="520" t="str">
        <f aca="false">AX52&amp;"-"&amp;AZ52</f>
        <v>-</v>
      </c>
      <c r="AV56" s="519"/>
      <c r="AW56" s="520" t="str">
        <f aca="false">AZ52&amp;"-"&amp;BB52</f>
        <v>-</v>
      </c>
      <c r="AX56" s="519"/>
      <c r="AY56" s="519"/>
      <c r="AZ56" s="519"/>
      <c r="BA56" s="519"/>
      <c r="BB56" s="536" t="str">
        <f aca="false">BE52&amp;"-"&amp;BG52</f>
        <v>-</v>
      </c>
      <c r="BC56" s="442"/>
      <c r="BE56" s="117"/>
      <c r="BF56" s="117" t="str">
        <f aca="false">IF(T56="","",T56)</f>
        <v/>
      </c>
      <c r="BG56" s="117"/>
      <c r="BH56" s="117"/>
    </row>
    <row r="57" customFormat="false" ht="11.25" hidden="false" customHeight="true" outlineLevel="0" collapsed="false">
      <c r="A57" s="415" t="s">
        <v>251</v>
      </c>
      <c r="B57" s="415" t="s">
        <v>252</v>
      </c>
      <c r="C57" s="415" t="s">
        <v>253</v>
      </c>
      <c r="D57" s="415" t="s">
        <v>529</v>
      </c>
      <c r="E57" s="416"/>
      <c r="F57" s="416"/>
      <c r="G57" s="416"/>
      <c r="H57" s="416"/>
      <c r="I57" s="431"/>
      <c r="J57" s="431"/>
      <c r="K57" s="415"/>
      <c r="L57" s="417"/>
      <c r="P57" s="120"/>
      <c r="Q57" s="120"/>
      <c r="R57" s="432"/>
      <c r="S57" s="444"/>
      <c r="T57" s="447" t="s">
        <v>481</v>
      </c>
      <c r="U57" s="193"/>
      <c r="V57" s="193"/>
      <c r="W57" s="193"/>
      <c r="X57" s="193"/>
      <c r="Y57" s="193"/>
      <c r="Z57" s="193"/>
      <c r="AA57" s="193"/>
      <c r="AB57" s="193"/>
      <c r="AC57" s="446"/>
      <c r="AD57" s="558"/>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446"/>
      <c r="BC57" s="442"/>
      <c r="BE57" s="117"/>
      <c r="BF57" s="117" t="str">
        <f aca="false">IF(T57="","",T57)</f>
        <v>Добавить строку</v>
      </c>
      <c r="BG57" s="117"/>
      <c r="BH57" s="117"/>
    </row>
    <row r="58" s="47" customFormat="true" ht="12.8" hidden="false" customHeight="false" outlineLevel="0" collapsed="false">
      <c r="A58" s="121" t="s">
        <v>251</v>
      </c>
      <c r="B58" s="121" t="s">
        <v>252</v>
      </c>
      <c r="C58" s="121" t="s">
        <v>253</v>
      </c>
      <c r="D58" s="121" t="s">
        <v>529</v>
      </c>
      <c r="E58" s="416"/>
      <c r="F58" s="416"/>
      <c r="G58" s="416"/>
      <c r="H58" s="416"/>
      <c r="I58" s="431"/>
      <c r="J58" s="121"/>
      <c r="K58" s="121"/>
      <c r="L58" s="191"/>
      <c r="M58" s="510"/>
      <c r="N58" s="510"/>
      <c r="O58" s="510"/>
      <c r="P58" s="120"/>
      <c r="Q58" s="120"/>
      <c r="R58" s="432"/>
      <c r="S58" s="506"/>
      <c r="T58" s="507"/>
      <c r="U58" s="508"/>
      <c r="V58" s="508"/>
      <c r="W58" s="508"/>
      <c r="X58" s="508"/>
      <c r="Y58" s="508"/>
      <c r="Z58" s="508"/>
      <c r="AA58" s="508"/>
      <c r="AB58" s="508"/>
      <c r="AC58" s="508"/>
      <c r="AD58" s="508"/>
      <c r="AE58" s="508"/>
      <c r="AF58" s="508"/>
      <c r="AG58" s="508"/>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9"/>
      <c r="BE58" s="117"/>
      <c r="BF58" s="117" t="str">
        <f aca="false">IF(T58="","",T58)</f>
        <v/>
      </c>
      <c r="BG58" s="117"/>
      <c r="BH58" s="117"/>
    </row>
    <row r="59" s="47" customFormat="true" ht="12.8" hidden="false" customHeight="false" outlineLevel="0" collapsed="false">
      <c r="A59" s="121" t="s">
        <v>251</v>
      </c>
      <c r="B59" s="121" t="s">
        <v>252</v>
      </c>
      <c r="C59" s="121" t="s">
        <v>253</v>
      </c>
      <c r="D59" s="121" t="s">
        <v>529</v>
      </c>
      <c r="E59" s="416"/>
      <c r="F59" s="416"/>
      <c r="G59" s="416"/>
      <c r="H59" s="416"/>
      <c r="I59" s="121"/>
      <c r="J59" s="121"/>
      <c r="K59" s="121"/>
      <c r="L59" s="191"/>
      <c r="M59" s="46"/>
      <c r="N59" s="46"/>
      <c r="P59" s="155"/>
      <c r="Q59" s="452"/>
      <c r="R59" s="539"/>
      <c r="S59" s="506"/>
      <c r="T59" s="507"/>
      <c r="U59" s="508"/>
      <c r="V59" s="508"/>
      <c r="W59" s="508"/>
      <c r="X59" s="508"/>
      <c r="Y59" s="508"/>
      <c r="Z59" s="508"/>
      <c r="AA59" s="508"/>
      <c r="AB59" s="508"/>
      <c r="AC59" s="508"/>
      <c r="AD59" s="508"/>
      <c r="AE59" s="508"/>
      <c r="AF59" s="508"/>
      <c r="AG59" s="508"/>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9"/>
      <c r="BE59" s="117"/>
      <c r="BF59" s="117" t="str">
        <f aca="false">IF(T59="","",T59)</f>
        <v/>
      </c>
      <c r="BG59" s="117"/>
      <c r="BH59" s="117"/>
    </row>
    <row r="60" s="47" customFormat="true" ht="12.8" hidden="false" customHeight="false" outlineLevel="0" collapsed="false">
      <c r="A60" s="121" t="s">
        <v>251</v>
      </c>
      <c r="B60" s="121" t="s">
        <v>252</v>
      </c>
      <c r="C60" s="121" t="s">
        <v>253</v>
      </c>
      <c r="D60" s="121"/>
      <c r="E60" s="416"/>
      <c r="F60" s="416"/>
      <c r="G60" s="416"/>
      <c r="H60" s="121"/>
      <c r="I60" s="121"/>
      <c r="J60" s="121"/>
      <c r="K60" s="121"/>
      <c r="L60" s="191"/>
      <c r="M60" s="46"/>
      <c r="N60" s="46"/>
      <c r="P60" s="155"/>
      <c r="Q60" s="452"/>
      <c r="R60" s="155"/>
      <c r="S60" s="457"/>
      <c r="T60" s="460"/>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59"/>
      <c r="AW60" s="459"/>
      <c r="AX60" s="459"/>
      <c r="AY60" s="459"/>
      <c r="AZ60" s="459"/>
      <c r="BA60" s="459"/>
      <c r="BB60" s="459"/>
      <c r="BC60" s="459"/>
      <c r="BE60" s="117"/>
      <c r="BF60" s="117" t="str">
        <f aca="false">IF(T60="","",T60)</f>
        <v/>
      </c>
      <c r="BG60" s="117"/>
      <c r="BH60" s="117"/>
    </row>
    <row r="61" s="47" customFormat="true" ht="12.8" hidden="false" customHeight="false" outlineLevel="0" collapsed="false">
      <c r="A61" s="121" t="s">
        <v>251</v>
      </c>
      <c r="B61" s="121" t="s">
        <v>252</v>
      </c>
      <c r="C61" s="121"/>
      <c r="D61" s="121"/>
      <c r="E61" s="416"/>
      <c r="F61" s="416"/>
      <c r="G61" s="121"/>
      <c r="H61" s="121"/>
      <c r="I61" s="121"/>
      <c r="J61" s="121"/>
      <c r="K61" s="121"/>
      <c r="L61" s="191"/>
      <c r="M61" s="456"/>
      <c r="N61" s="456"/>
      <c r="P61" s="155"/>
      <c r="Q61" s="452"/>
      <c r="R61" s="155"/>
      <c r="S61" s="457"/>
      <c r="T61" s="460" t="s">
        <v>261</v>
      </c>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59"/>
      <c r="AW61" s="459"/>
      <c r="AX61" s="459"/>
      <c r="AY61" s="459"/>
      <c r="AZ61" s="459"/>
      <c r="BA61" s="459"/>
      <c r="BB61" s="459"/>
      <c r="BC61" s="459"/>
      <c r="BE61" s="117"/>
      <c r="BF61" s="117" t="str">
        <f aca="false">IF(T61="","",T61)</f>
        <v>Добавить централизованную систему для дифференциации</v>
      </c>
      <c r="BG61" s="117"/>
      <c r="BH61" s="117"/>
    </row>
    <row r="62" s="47" customFormat="true" ht="12.8" hidden="false" customHeight="false" outlineLevel="0" collapsed="false">
      <c r="A62" s="121" t="s">
        <v>251</v>
      </c>
      <c r="B62" s="121"/>
      <c r="C62" s="121"/>
      <c r="D62" s="121"/>
      <c r="E62" s="416"/>
      <c r="F62" s="121"/>
      <c r="G62" s="121"/>
      <c r="H62" s="121"/>
      <c r="I62" s="121"/>
      <c r="J62" s="121"/>
      <c r="K62" s="121"/>
      <c r="L62" s="191"/>
      <c r="M62" s="456"/>
      <c r="N62" s="456"/>
      <c r="P62" s="155"/>
      <c r="Q62" s="452"/>
      <c r="R62" s="155"/>
      <c r="S62" s="457"/>
      <c r="T62" s="460" t="s">
        <v>268</v>
      </c>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459"/>
      <c r="BB62" s="459"/>
      <c r="BC62" s="459"/>
      <c r="BE62" s="117"/>
      <c r="BF62" s="117" t="str">
        <f aca="false">IF(T62="","",T62)</f>
        <v>Добавить территорию для дифференциации</v>
      </c>
      <c r="BG62" s="117"/>
      <c r="BH62" s="117"/>
    </row>
    <row r="63" s="47" customFormat="true" ht="12.8" hidden="false" customHeight="false" outlineLevel="0" collapsed="false">
      <c r="A63" s="121"/>
      <c r="B63" s="121"/>
      <c r="C63" s="121"/>
      <c r="D63" s="121"/>
      <c r="E63" s="121"/>
      <c r="F63" s="121"/>
      <c r="G63" s="121"/>
      <c r="H63" s="121"/>
      <c r="I63" s="121"/>
      <c r="J63" s="121"/>
      <c r="K63" s="121"/>
      <c r="L63" s="191"/>
      <c r="M63" s="456"/>
      <c r="N63" s="456"/>
      <c r="P63" s="155"/>
      <c r="Q63" s="452"/>
      <c r="R63" s="155"/>
      <c r="S63" s="457"/>
      <c r="T63" s="460" t="s">
        <v>269</v>
      </c>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459"/>
      <c r="AY63" s="459"/>
      <c r="AZ63" s="459"/>
      <c r="BA63" s="459"/>
      <c r="BB63" s="459"/>
      <c r="BC63" s="459"/>
      <c r="BE63" s="117"/>
      <c r="BF63" s="117" t="str">
        <f aca="false">IF(T63="","",T63)</f>
        <v>Добавить наименование тарифа</v>
      </c>
      <c r="BG63" s="117"/>
      <c r="BH63" s="117"/>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12"/>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491"/>
      <c r="AY65" s="491"/>
      <c r="AZ65" s="491"/>
      <c r="BA65" s="491"/>
      <c r="BB65" s="491"/>
      <c r="BC65" s="491"/>
    </row>
    <row r="66" customFormat="false" ht="14.25" hidden="false" customHeight="true" outlineLevel="0" collapsed="false">
      <c r="O66" s="45"/>
      <c r="T66" s="491"/>
      <c r="U66" s="491"/>
      <c r="V66" s="491"/>
      <c r="W66" s="491"/>
      <c r="X66" s="491"/>
      <c r="Y66" s="491"/>
      <c r="Z66" s="491"/>
      <c r="AA66" s="491"/>
      <c r="AB66" s="491"/>
      <c r="AC66" s="491"/>
      <c r="AD66" s="491"/>
      <c r="AE66" s="491"/>
      <c r="AF66" s="491"/>
      <c r="AG66" s="491"/>
      <c r="AH66" s="491"/>
      <c r="AI66" s="491"/>
      <c r="AJ66" s="491"/>
      <c r="AK66" s="491"/>
      <c r="AL66" s="491"/>
      <c r="AM66" s="491"/>
      <c r="AN66" s="491"/>
      <c r="AO66" s="491"/>
      <c r="AP66" s="491"/>
      <c r="AQ66" s="491"/>
      <c r="AR66" s="491"/>
      <c r="AS66" s="491"/>
      <c r="AT66" s="491"/>
      <c r="AU66" s="491"/>
      <c r="AV66" s="491"/>
      <c r="AW66" s="491"/>
      <c r="AX66" s="491"/>
      <c r="AY66" s="491"/>
      <c r="AZ66" s="491"/>
      <c r="BA66" s="491"/>
      <c r="BB66" s="491"/>
      <c r="BC66" s="491"/>
    </row>
    <row r="67" customFormat="false" ht="18.75" hidden="false" customHeight="true" outlineLevel="0" collapsed="false">
      <c r="O67" s="45"/>
      <c r="S67" s="412"/>
      <c r="T67" s="491"/>
      <c r="U67" s="491"/>
      <c r="V67" s="491"/>
      <c r="W67" s="491"/>
      <c r="X67" s="491"/>
      <c r="Y67" s="491"/>
      <c r="Z67" s="491"/>
      <c r="AA67" s="491"/>
      <c r="AB67" s="491"/>
      <c r="AC67" s="491"/>
      <c r="AD67" s="491"/>
      <c r="AE67" s="491"/>
      <c r="AF67" s="491"/>
      <c r="AG67" s="491"/>
      <c r="AH67" s="491"/>
      <c r="AI67" s="491"/>
      <c r="AJ67" s="491"/>
      <c r="AK67" s="491"/>
      <c r="AL67" s="491"/>
      <c r="AM67" s="491"/>
      <c r="AN67" s="491"/>
      <c r="AO67" s="491"/>
      <c r="AP67" s="491"/>
      <c r="AQ67" s="491"/>
      <c r="AR67" s="491"/>
      <c r="AS67" s="491"/>
      <c r="AT67" s="491"/>
      <c r="AU67" s="491"/>
      <c r="AV67" s="491"/>
      <c r="AW67" s="491"/>
      <c r="AX67" s="491"/>
      <c r="AY67" s="491"/>
      <c r="AZ67" s="491"/>
      <c r="BA67" s="491"/>
      <c r="BB67" s="491"/>
      <c r="BC67" s="491"/>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71"/>
    <col collapsed="false" customWidth="true" hidden="false" outlineLevel="0" max="18" min="17" style="414" width="3.71"/>
    <col collapsed="false" customWidth="true" hidden="false" outlineLevel="0" max="19" min="19" style="75" width="12.71"/>
    <col collapsed="false" customWidth="true" hidden="false" outlineLevel="0" max="20" min="20" style="42" width="35.71"/>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7" width="10.57"/>
    <col collapsed="false" customWidth="true" hidden="false" outlineLevel="0" max="40" min="40" style="47" width="11.14"/>
    <col collapsed="false" customWidth="false" hidden="false" outlineLevel="0" max="42" min="41" style="47" width="10.57"/>
  </cols>
  <sheetData>
    <row r="1" customFormat="false" ht="14.25" hidden="true" customHeight="true" outlineLevel="0" collapsed="false"/>
    <row r="2" customFormat="false" ht="23.25" hidden="true" customHeight="true" outlineLevel="0" collapsed="false">
      <c r="A2" s="415"/>
      <c r="B2" s="415"/>
      <c r="C2" s="415"/>
      <c r="D2" s="415"/>
      <c r="E2" s="416" t="n">
        <v>1</v>
      </c>
      <c r="F2" s="415"/>
      <c r="G2" s="415"/>
      <c r="H2" s="415"/>
      <c r="I2" s="415"/>
      <c r="J2" s="415"/>
      <c r="K2" s="415"/>
      <c r="L2" s="417"/>
      <c r="M2" s="40"/>
      <c r="N2" s="40"/>
      <c r="O2" s="40"/>
      <c r="Q2" s="131"/>
      <c r="R2" s="418"/>
      <c r="S2" s="419" t="e">
        <f aca="false">INDEX(PT_DIFFERENTIATION_NUM_NTAR,MATCH(A2,PT_DIFFERENTIATION_NTAR_ID,0))</f>
        <v>#N/A</v>
      </c>
      <c r="T2" s="420" t="s">
        <v>130</v>
      </c>
      <c r="U2" s="421"/>
      <c r="V2" s="422"/>
      <c r="W2" s="422"/>
      <c r="X2" s="422"/>
      <c r="Y2" s="422"/>
      <c r="Z2" s="422"/>
      <c r="AA2" s="422"/>
      <c r="AB2" s="422"/>
      <c r="AC2" s="422" t="e">
        <f aca="false">INDEX(PT_DIFFERENTIATION_NTAR,MATCH(A2,PT_DIFFERENTIATION_NTAR_ID,0))</f>
        <v>#N/A</v>
      </c>
      <c r="AD2" s="422"/>
      <c r="AE2" s="422"/>
      <c r="AF2" s="422"/>
      <c r="AG2" s="422"/>
      <c r="AH2" s="422"/>
      <c r="AI2" s="422"/>
      <c r="AJ2" s="422"/>
      <c r="AK2" s="42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7"/>
      <c r="AN2" s="117" t="str">
        <f aca="false">IF(T2="","",T2)</f>
        <v>Наименование тарифа</v>
      </c>
      <c r="AO2" s="117"/>
      <c r="AP2" s="117"/>
    </row>
    <row r="3" customFormat="false" ht="23.25" hidden="true" customHeight="true" outlineLevel="0" collapsed="false">
      <c r="A3" s="415"/>
      <c r="B3" s="415"/>
      <c r="C3" s="415"/>
      <c r="D3" s="415"/>
      <c r="E3" s="416"/>
      <c r="F3" s="416" t="n">
        <v>1</v>
      </c>
      <c r="G3" s="415"/>
      <c r="H3" s="415"/>
      <c r="I3" s="415"/>
      <c r="J3" s="415"/>
      <c r="K3" s="415"/>
      <c r="L3" s="417"/>
      <c r="M3" s="40"/>
      <c r="N3" s="40"/>
      <c r="O3" s="40"/>
      <c r="P3" s="43"/>
      <c r="Q3" s="425"/>
      <c r="R3" s="426"/>
      <c r="S3" s="419" t="e">
        <f aca="false">INDEX(PT_DIFFERENTIATION_NUM_TER,MATCH(B3,PT_DIFFERENTIATION_TER_ID,0))</f>
        <v>#N/A</v>
      </c>
      <c r="T3" s="427" t="s">
        <v>413</v>
      </c>
      <c r="U3" s="421"/>
      <c r="V3" s="422"/>
      <c r="W3" s="422"/>
      <c r="X3" s="422"/>
      <c r="Y3" s="422"/>
      <c r="Z3" s="422"/>
      <c r="AA3" s="422"/>
      <c r="AB3" s="422"/>
      <c r="AC3" s="422" t="e">
        <f aca="false">INDEX(PT_DIFFERENTIATION_TER,MATCH(B3,PT_DIFFERENTIATION_TER_ID,0))</f>
        <v>#N/A</v>
      </c>
      <c r="AD3" s="422"/>
      <c r="AE3" s="422"/>
      <c r="AF3" s="422"/>
      <c r="AG3" s="422"/>
      <c r="AH3" s="422"/>
      <c r="AI3" s="422"/>
      <c r="AJ3" s="422"/>
      <c r="AK3" s="424" t="s">
        <v>414</v>
      </c>
      <c r="AM3" s="117"/>
      <c r="AN3" s="117" t="str">
        <f aca="false">IF(T3="","",T3)</f>
        <v>Территория действия тарифа</v>
      </c>
      <c r="AO3" s="117"/>
      <c r="AP3" s="117"/>
    </row>
    <row r="4" customFormat="false" ht="23.25" hidden="true" customHeight="true" outlineLevel="0" collapsed="false">
      <c r="A4" s="415"/>
      <c r="B4" s="415"/>
      <c r="C4" s="415"/>
      <c r="D4" s="415"/>
      <c r="E4" s="416"/>
      <c r="F4" s="416"/>
      <c r="G4" s="416" t="n">
        <v>1</v>
      </c>
      <c r="H4" s="415"/>
      <c r="I4" s="415"/>
      <c r="J4" s="415"/>
      <c r="K4" s="415"/>
      <c r="L4" s="417"/>
      <c r="M4" s="40"/>
      <c r="N4" s="40"/>
      <c r="O4" s="40"/>
      <c r="P4" s="428"/>
      <c r="Q4" s="425"/>
      <c r="R4" s="426"/>
      <c r="S4" s="419" t="e">
        <f aca="false">INDEX(PT_DIFFERENTIATION_NUM_CS,MATCH(C4,PT_DIFFERENTIATION_CS_ID,0))</f>
        <v>#N/A</v>
      </c>
      <c r="T4" s="429" t="s">
        <v>530</v>
      </c>
      <c r="U4" s="421"/>
      <c r="V4" s="422"/>
      <c r="W4" s="422"/>
      <c r="X4" s="422"/>
      <c r="Y4" s="422"/>
      <c r="Z4" s="422"/>
      <c r="AA4" s="422"/>
      <c r="AB4" s="422"/>
      <c r="AC4" s="422" t="e">
        <f aca="false">INDEX(PT_DIFFERENTIATION_CS,MATCH(C4,PT_DIFFERENTIATION_CS_ID,0))</f>
        <v>#N/A</v>
      </c>
      <c r="AD4" s="422"/>
      <c r="AE4" s="422"/>
      <c r="AF4" s="422"/>
      <c r="AG4" s="422"/>
      <c r="AH4" s="422"/>
      <c r="AI4" s="422"/>
      <c r="AJ4" s="422"/>
      <c r="AK4" s="424" t="s">
        <v>531</v>
      </c>
      <c r="AM4" s="117"/>
      <c r="AN4" s="117" t="str">
        <f aca="false">IF(T4="","",T4)</f>
        <v>Наименование централизованной системы водоотведения</v>
      </c>
      <c r="AO4" s="117"/>
      <c r="AP4" s="117"/>
    </row>
    <row r="5" customFormat="false" ht="23.25" hidden="true" customHeight="true" outlineLevel="0" collapsed="false">
      <c r="A5" s="415"/>
      <c r="B5" s="415"/>
      <c r="C5" s="415"/>
      <c r="D5" s="415"/>
      <c r="E5" s="416"/>
      <c r="F5" s="416"/>
      <c r="G5" s="416"/>
      <c r="H5" s="560"/>
      <c r="I5" s="431" t="e">
        <f aca="false">S4&amp;".1"</f>
        <v>#N/A</v>
      </c>
      <c r="J5" s="415"/>
      <c r="K5" s="415"/>
      <c r="L5" s="417"/>
      <c r="P5" s="120" t="n">
        <v>1</v>
      </c>
      <c r="Q5" s="120"/>
      <c r="R5" s="432"/>
      <c r="S5" s="419" t="e">
        <f aca="false">$I5</f>
        <v>#N/A</v>
      </c>
      <c r="T5" s="433" t="s">
        <v>497</v>
      </c>
      <c r="U5" s="421"/>
      <c r="V5" s="561"/>
      <c r="W5" s="561"/>
      <c r="X5" s="561"/>
      <c r="Y5" s="561"/>
      <c r="Z5" s="561"/>
      <c r="AA5" s="561"/>
      <c r="AB5" s="561"/>
      <c r="AC5" s="245"/>
      <c r="AD5" s="245"/>
      <c r="AE5" s="245"/>
      <c r="AF5" s="245"/>
      <c r="AG5" s="245"/>
      <c r="AH5" s="245"/>
      <c r="AI5" s="245"/>
      <c r="AJ5" s="245"/>
      <c r="AK5" s="424" t="s">
        <v>498</v>
      </c>
      <c r="AM5" s="117"/>
      <c r="AN5" s="117" t="str">
        <f aca="false">IF(T5="","",T5)</f>
        <v>Наименование признака дифференциации</v>
      </c>
      <c r="AO5" s="117"/>
      <c r="AP5" s="117"/>
    </row>
    <row r="6" customFormat="false" ht="23.25" hidden="true" customHeight="true" outlineLevel="0" collapsed="false">
      <c r="A6" s="415"/>
      <c r="B6" s="415"/>
      <c r="C6" s="415"/>
      <c r="D6" s="415"/>
      <c r="E6" s="416"/>
      <c r="F6" s="416"/>
      <c r="G6" s="416"/>
      <c r="H6" s="416"/>
      <c r="I6" s="431"/>
      <c r="J6" s="431" t="e">
        <f aca="false">I5&amp;".1"</f>
        <v>#N/A</v>
      </c>
      <c r="K6" s="415"/>
      <c r="L6" s="417" t="s">
        <v>422</v>
      </c>
      <c r="P6" s="120"/>
      <c r="Q6" s="120" t="n">
        <v>1</v>
      </c>
      <c r="R6" s="435"/>
      <c r="S6" s="419" t="e">
        <f aca="false">$J6</f>
        <v>#N/A</v>
      </c>
      <c r="T6" s="436" t="s">
        <v>423</v>
      </c>
      <c r="U6" s="421"/>
      <c r="V6" s="434"/>
      <c r="W6" s="434"/>
      <c r="X6" s="434"/>
      <c r="Y6" s="434"/>
      <c r="Z6" s="434"/>
      <c r="AA6" s="434"/>
      <c r="AB6" s="434"/>
      <c r="AC6" s="434"/>
      <c r="AD6" s="434"/>
      <c r="AE6" s="434"/>
      <c r="AF6" s="434"/>
      <c r="AG6" s="434"/>
      <c r="AH6" s="434"/>
      <c r="AI6" s="434"/>
      <c r="AJ6" s="434"/>
      <c r="AK6" s="514" t="s">
        <v>499</v>
      </c>
      <c r="AM6" s="117"/>
      <c r="AN6" s="117" t="str">
        <f aca="false">IF(T6="","",T6)</f>
        <v>Группа потребителей</v>
      </c>
      <c r="AO6" s="117"/>
      <c r="AP6" s="117"/>
    </row>
    <row r="7" customFormat="false" ht="23.25" hidden="true" customHeight="true" outlineLevel="0" collapsed="false">
      <c r="A7" s="415"/>
      <c r="B7" s="415"/>
      <c r="C7" s="415"/>
      <c r="D7" s="415"/>
      <c r="E7" s="416"/>
      <c r="F7" s="416"/>
      <c r="G7" s="416"/>
      <c r="H7" s="416"/>
      <c r="I7" s="431"/>
      <c r="J7" s="431"/>
      <c r="K7" s="431" t="e">
        <f aca="false">J6&amp;".1"</f>
        <v>#N/A</v>
      </c>
      <c r="L7" s="417"/>
      <c r="P7" s="120"/>
      <c r="Q7" s="120"/>
      <c r="R7" s="435" t="n">
        <v>1</v>
      </c>
      <c r="S7" s="419" t="e">
        <f aca="false">$K7</f>
        <v>#N/A</v>
      </c>
      <c r="T7" s="562"/>
      <c r="U7" s="421"/>
      <c r="V7" s="438"/>
      <c r="W7" s="438"/>
      <c r="X7" s="440"/>
      <c r="Y7" s="441"/>
      <c r="Z7" s="203" t="s">
        <v>63</v>
      </c>
      <c r="AA7" s="441"/>
      <c r="AB7" s="203" t="s">
        <v>63</v>
      </c>
      <c r="AC7" s="438"/>
      <c r="AD7" s="438"/>
      <c r="AE7" s="440"/>
      <c r="AF7" s="441"/>
      <c r="AG7" s="203" t="s">
        <v>63</v>
      </c>
      <c r="AH7" s="441"/>
      <c r="AI7" s="203" t="s">
        <v>63</v>
      </c>
      <c r="AJ7" s="563"/>
      <c r="AK7" s="56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7"/>
      <c r="AN7" s="117" t="str">
        <f aca="false">IF(T7="","",T7)</f>
        <v/>
      </c>
      <c r="AO7" s="117"/>
      <c r="AP7" s="117"/>
    </row>
    <row r="8" customFormat="false" ht="14.25" hidden="true" customHeight="true" outlineLevel="0" collapsed="false">
      <c r="A8" s="415"/>
      <c r="B8" s="415"/>
      <c r="C8" s="415"/>
      <c r="D8" s="415"/>
      <c r="E8" s="416"/>
      <c r="F8" s="416"/>
      <c r="G8" s="416"/>
      <c r="H8" s="416"/>
      <c r="I8" s="431"/>
      <c r="J8" s="431"/>
      <c r="K8" s="431"/>
      <c r="L8" s="417"/>
      <c r="P8" s="120"/>
      <c r="Q8" s="120"/>
      <c r="R8" s="435"/>
      <c r="S8" s="396"/>
      <c r="T8" s="421"/>
      <c r="U8" s="421"/>
      <c r="V8" s="439"/>
      <c r="W8" s="439"/>
      <c r="X8" s="443" t="str">
        <f aca="false">Y7&amp;"-"&amp;AA7</f>
        <v>-</v>
      </c>
      <c r="Y8" s="441"/>
      <c r="Z8" s="203"/>
      <c r="AA8" s="441"/>
      <c r="AB8" s="203"/>
      <c r="AC8" s="439"/>
      <c r="AD8" s="439"/>
      <c r="AE8" s="443" t="str">
        <f aca="false">AF7&amp;"-"&amp;AH7</f>
        <v>-</v>
      </c>
      <c r="AF8" s="441"/>
      <c r="AG8" s="203"/>
      <c r="AH8" s="441"/>
      <c r="AI8" s="203"/>
      <c r="AJ8" s="565"/>
      <c r="AK8" s="564"/>
      <c r="AM8" s="117"/>
      <c r="AN8" s="117" t="str">
        <f aca="false">IF(T8="","",T8)</f>
        <v/>
      </c>
      <c r="AO8" s="117"/>
      <c r="AP8" s="117"/>
    </row>
    <row r="9" customFormat="false" ht="21" hidden="true" customHeight="true" outlineLevel="0" collapsed="false">
      <c r="A9" s="415"/>
      <c r="B9" s="415"/>
      <c r="C9" s="415"/>
      <c r="D9" s="415"/>
      <c r="E9" s="416"/>
      <c r="F9" s="416"/>
      <c r="G9" s="416"/>
      <c r="H9" s="416"/>
      <c r="I9" s="431"/>
      <c r="J9" s="431"/>
      <c r="K9" s="415"/>
      <c r="L9" s="417"/>
      <c r="P9" s="120"/>
      <c r="Q9" s="120"/>
      <c r="R9" s="432"/>
      <c r="S9" s="444"/>
      <c r="T9" s="447" t="s">
        <v>500</v>
      </c>
      <c r="U9" s="193"/>
      <c r="V9" s="193"/>
      <c r="W9" s="193"/>
      <c r="X9" s="193"/>
      <c r="Y9" s="193"/>
      <c r="Z9" s="193"/>
      <c r="AA9" s="193"/>
      <c r="AB9" s="193"/>
      <c r="AC9" s="193"/>
      <c r="AD9" s="193"/>
      <c r="AE9" s="193"/>
      <c r="AF9" s="193"/>
      <c r="AG9" s="193"/>
      <c r="AH9" s="193"/>
      <c r="AI9" s="193"/>
      <c r="AJ9" s="193"/>
      <c r="AK9" s="424" t="s">
        <v>501</v>
      </c>
      <c r="AM9" s="117"/>
      <c r="AN9" s="117" t="str">
        <f aca="false">IF(T9="","",T9)</f>
        <v>Добавить значение признака дифференциации</v>
      </c>
      <c r="AO9" s="117"/>
      <c r="AP9" s="117"/>
    </row>
    <row r="10" customFormat="false" ht="21" hidden="true" customHeight="true" outlineLevel="0" collapsed="false">
      <c r="A10" s="415"/>
      <c r="B10" s="415"/>
      <c r="C10" s="415"/>
      <c r="D10" s="415"/>
      <c r="E10" s="416"/>
      <c r="F10" s="416"/>
      <c r="G10" s="416"/>
      <c r="H10" s="416"/>
      <c r="I10" s="431"/>
      <c r="J10" s="415"/>
      <c r="K10" s="415"/>
      <c r="L10" s="417"/>
      <c r="P10" s="120"/>
      <c r="Q10" s="120"/>
      <c r="R10" s="432"/>
      <c r="S10" s="444"/>
      <c r="T10" s="451" t="s">
        <v>428</v>
      </c>
      <c r="U10" s="193"/>
      <c r="V10" s="193"/>
      <c r="W10" s="193"/>
      <c r="X10" s="193"/>
      <c r="Y10" s="193"/>
      <c r="Z10" s="193"/>
      <c r="AA10" s="193"/>
      <c r="AB10" s="448"/>
      <c r="AC10" s="193"/>
      <c r="AD10" s="193"/>
      <c r="AE10" s="193"/>
      <c r="AF10" s="193"/>
      <c r="AG10" s="193"/>
      <c r="AH10" s="193"/>
      <c r="AI10" s="448"/>
      <c r="AJ10" s="193"/>
      <c r="AK10" s="566"/>
      <c r="AM10" s="117"/>
      <c r="AN10" s="117" t="str">
        <f aca="false">IF(T10="","",T10)</f>
        <v>Добавить группу потребителей</v>
      </c>
      <c r="AO10" s="117"/>
      <c r="AP10" s="117"/>
    </row>
    <row r="11" customFormat="false" ht="21" hidden="true" customHeight="true" outlineLevel="0" collapsed="false">
      <c r="A11" s="415"/>
      <c r="B11" s="415"/>
      <c r="C11" s="415"/>
      <c r="D11" s="415"/>
      <c r="E11" s="416"/>
      <c r="F11" s="416"/>
      <c r="G11" s="416"/>
      <c r="H11" s="560"/>
      <c r="I11" s="415"/>
      <c r="J11" s="415"/>
      <c r="K11" s="415"/>
      <c r="L11" s="417"/>
      <c r="M11" s="40"/>
      <c r="N11" s="40"/>
      <c r="O11" s="45"/>
      <c r="P11" s="131"/>
      <c r="Q11" s="450"/>
      <c r="R11" s="418"/>
      <c r="S11" s="444"/>
      <c r="T11" s="567" t="s">
        <v>502</v>
      </c>
      <c r="U11" s="193"/>
      <c r="V11" s="193"/>
      <c r="W11" s="193"/>
      <c r="X11" s="193"/>
      <c r="Y11" s="193"/>
      <c r="Z11" s="193"/>
      <c r="AA11" s="193"/>
      <c r="AB11" s="448"/>
      <c r="AC11" s="193"/>
      <c r="AD11" s="193"/>
      <c r="AE11" s="193"/>
      <c r="AF11" s="193"/>
      <c r="AG11" s="193"/>
      <c r="AH11" s="193"/>
      <c r="AI11" s="448"/>
      <c r="AJ11" s="193"/>
      <c r="AK11" s="449"/>
      <c r="AM11" s="117"/>
      <c r="AN11" s="117" t="str">
        <f aca="false">IF(T11="","",T11)</f>
        <v>Добавить наименование признака дифференциации</v>
      </c>
      <c r="AO11" s="117"/>
      <c r="AP11" s="117"/>
    </row>
    <row r="12" s="47" customFormat="true" ht="14.25" hidden="true" customHeight="true" outlineLevel="0" collapsed="false">
      <c r="A12" s="121"/>
      <c r="B12" s="121"/>
      <c r="C12" s="121"/>
      <c r="D12" s="121"/>
      <c r="E12" s="416"/>
      <c r="F12" s="416"/>
      <c r="G12" s="121"/>
      <c r="H12" s="121"/>
      <c r="I12" s="121"/>
      <c r="J12" s="121"/>
      <c r="K12" s="121"/>
      <c r="L12" s="191"/>
      <c r="M12" s="456"/>
      <c r="N12" s="456"/>
      <c r="P12" s="155"/>
      <c r="Q12" s="452"/>
      <c r="R12" s="155"/>
      <c r="S12" s="457"/>
      <c r="T12" s="460" t="s">
        <v>261</v>
      </c>
      <c r="U12" s="459"/>
      <c r="V12" s="459"/>
      <c r="W12" s="459"/>
      <c r="X12" s="459"/>
      <c r="Y12" s="459"/>
      <c r="Z12" s="459"/>
      <c r="AA12" s="459"/>
      <c r="AB12" s="459"/>
      <c r="AC12" s="459"/>
      <c r="AD12" s="459"/>
      <c r="AE12" s="459"/>
      <c r="AF12" s="459"/>
      <c r="AG12" s="459"/>
      <c r="AH12" s="459"/>
      <c r="AI12" s="459"/>
      <c r="AJ12" s="459"/>
      <c r="AK12" s="459"/>
      <c r="AM12" s="117"/>
      <c r="AN12" s="117" t="str">
        <f aca="false">IF(T12="","",T12)</f>
        <v>Добавить централизованную систему для дифференциации</v>
      </c>
      <c r="AO12" s="117"/>
      <c r="AP12" s="117"/>
    </row>
    <row r="13" s="47" customFormat="true" ht="14.25" hidden="true" customHeight="true" outlineLevel="0" collapsed="false">
      <c r="A13" s="121"/>
      <c r="B13" s="121"/>
      <c r="C13" s="121"/>
      <c r="D13" s="121"/>
      <c r="E13" s="416"/>
      <c r="F13" s="121"/>
      <c r="G13" s="121"/>
      <c r="H13" s="121"/>
      <c r="I13" s="121"/>
      <c r="J13" s="121"/>
      <c r="K13" s="121"/>
      <c r="L13" s="191"/>
      <c r="M13" s="456"/>
      <c r="N13" s="456"/>
      <c r="P13" s="155"/>
      <c r="Q13" s="452"/>
      <c r="R13" s="155"/>
      <c r="S13" s="457"/>
      <c r="T13" s="460" t="s">
        <v>268</v>
      </c>
      <c r="U13" s="459"/>
      <c r="V13" s="459"/>
      <c r="W13" s="459"/>
      <c r="X13" s="459"/>
      <c r="Y13" s="459"/>
      <c r="Z13" s="459"/>
      <c r="AA13" s="459"/>
      <c r="AB13" s="459"/>
      <c r="AC13" s="459"/>
      <c r="AD13" s="459"/>
      <c r="AE13" s="459"/>
      <c r="AF13" s="459"/>
      <c r="AG13" s="459"/>
      <c r="AH13" s="459"/>
      <c r="AI13" s="459"/>
      <c r="AJ13" s="459"/>
      <c r="AK13" s="459"/>
      <c r="AM13" s="117"/>
      <c r="AN13" s="117" t="str">
        <f aca="false">IF(T13="","",T13)</f>
        <v>Добавить территорию для дифференциации</v>
      </c>
      <c r="AO13" s="117"/>
      <c r="AP13" s="117"/>
    </row>
    <row r="14" customFormat="false" ht="14.25" hidden="true" customHeight="true" outlineLevel="0" collapsed="false"/>
    <row r="15" customFormat="false" ht="14.25" hidden="true" customHeight="true" outlineLevel="0" collapsed="false">
      <c r="AC15" s="461"/>
      <c r="AD15" s="461"/>
      <c r="AE15" s="462"/>
      <c r="AF15" s="463"/>
      <c r="AG15" s="464" t="s">
        <v>63</v>
      </c>
      <c r="AH15" s="463"/>
      <c r="AI15" s="464" t="s">
        <v>63</v>
      </c>
    </row>
    <row r="16" customFormat="false" ht="14.25" hidden="true" customHeight="true" outlineLevel="0" collapsed="false">
      <c r="AC16" s="461"/>
      <c r="AD16" s="461"/>
      <c r="AE16" s="443" t="str">
        <f aca="false">AF15&amp;"-"&amp;AH15</f>
        <v>-</v>
      </c>
      <c r="AF16" s="463"/>
      <c r="AG16" s="463"/>
      <c r="AH16" s="463"/>
      <c r="AI16" s="463"/>
    </row>
    <row r="17" customFormat="false" ht="14.25" hidden="true" customHeight="true" outlineLevel="0" collapsed="false"/>
    <row r="18" s="45" customFormat="true" ht="22.5" hidden="true" customHeight="true" outlineLevel="0" collapsed="false">
      <c r="L18" s="44"/>
      <c r="M18" s="51"/>
      <c r="N18" s="51"/>
      <c r="O18" s="465" t="s">
        <v>431</v>
      </c>
      <c r="P18" s="51"/>
      <c r="Q18" s="466"/>
      <c r="R18" s="466"/>
      <c r="S18" s="40"/>
      <c r="Y18" s="465"/>
      <c r="AA18" s="465"/>
      <c r="AF18" s="465"/>
      <c r="AH18" s="465"/>
      <c r="AL18" s="47"/>
      <c r="AM18" s="47"/>
      <c r="AN18" s="47"/>
      <c r="AO18" s="47"/>
      <c r="AP18" s="47"/>
    </row>
    <row r="19" s="45" customFormat="true" ht="14.25" hidden="true" customHeight="true" outlineLevel="0" collapsed="false">
      <c r="L19" s="44"/>
      <c r="M19" s="51"/>
      <c r="N19" s="51"/>
      <c r="O19" s="51"/>
      <c r="P19" s="51"/>
      <c r="Q19" s="466"/>
      <c r="R19" s="466"/>
      <c r="S19" s="40"/>
      <c r="AL19" s="47"/>
      <c r="AM19" s="47"/>
      <c r="AN19" s="47"/>
      <c r="AO19" s="47"/>
      <c r="AP19" s="47"/>
    </row>
    <row r="20" s="45" customFormat="true" ht="12" hidden="true" customHeight="true" outlineLevel="0" collapsed="false">
      <c r="L20" s="44"/>
      <c r="M20" s="51"/>
      <c r="N20" s="51"/>
      <c r="O20" s="417" t="s">
        <v>432</v>
      </c>
      <c r="P20" s="51"/>
      <c r="Q20" s="568"/>
      <c r="R20" s="568"/>
      <c r="S20" s="40"/>
      <c r="T20" s="45" t="s">
        <v>433</v>
      </c>
      <c r="Z20" s="139" t="s">
        <v>434</v>
      </c>
      <c r="AB20" s="139" t="s">
        <v>435</v>
      </c>
      <c r="AC20" s="45" t="s">
        <v>433</v>
      </c>
      <c r="AG20" s="139" t="s">
        <v>436</v>
      </c>
      <c r="AI20" s="139" t="s">
        <v>435</v>
      </c>
    </row>
    <row r="21" customFormat="false" ht="14.25" hidden="true" customHeight="true" outlineLevel="0" collapsed="false">
      <c r="O21" s="417"/>
    </row>
    <row r="22" customFormat="false" ht="14.25" hidden="true" customHeight="true" outlineLevel="0" collapsed="false">
      <c r="O22" s="417"/>
    </row>
    <row r="23" customFormat="false" ht="14.25" hidden="false" customHeight="true" outlineLevel="0" collapsed="false">
      <c r="Q23" s="467"/>
      <c r="R23" s="467"/>
      <c r="S23" s="468"/>
      <c r="T23" s="79"/>
      <c r="U23" s="79"/>
    </row>
    <row r="24" customFormat="false" ht="14.25" hidden="false" customHeight="true" outlineLevel="0" collapsed="false">
      <c r="Q24" s="467"/>
      <c r="R24" s="467"/>
      <c r="S24" s="212" t="str">
        <f aca="false">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
      <c r="U24" s="212"/>
      <c r="V24" s="212"/>
      <c r="W24" s="212"/>
      <c r="X24" s="212"/>
      <c r="Y24" s="212"/>
      <c r="Z24" s="212"/>
      <c r="AA24" s="212"/>
      <c r="AB24" s="212"/>
      <c r="AC24" s="212"/>
      <c r="AD24" s="212"/>
      <c r="AE24" s="212"/>
      <c r="AF24" s="212"/>
      <c r="AG24" s="212"/>
      <c r="AH24" s="212"/>
      <c r="AI24" s="214"/>
    </row>
    <row r="25" customFormat="false" ht="14.25" hidden="false" customHeight="true" outlineLevel="0" collapsed="false">
      <c r="Q25" s="467"/>
      <c r="R25" s="467"/>
      <c r="S25" s="265" t="str">
        <f aca="false">IF(org=0,"Не определено",org)</f>
        <v>ООО "Газпром теплоэнерго Ярославль"</v>
      </c>
      <c r="T25" s="265"/>
      <c r="U25" s="265"/>
      <c r="V25" s="265"/>
      <c r="W25" s="265"/>
      <c r="X25" s="265"/>
      <c r="Y25" s="265"/>
      <c r="Z25" s="265"/>
      <c r="AA25" s="265"/>
      <c r="AB25" s="265"/>
      <c r="AC25" s="265"/>
      <c r="AD25" s="265"/>
      <c r="AE25" s="265"/>
      <c r="AF25" s="265"/>
      <c r="AG25" s="265"/>
      <c r="AH25" s="265"/>
      <c r="AI25" s="214"/>
    </row>
    <row r="26" customFormat="false" ht="14.25" hidden="false" customHeight="true" outlineLevel="0" collapsed="false">
      <c r="Q26" s="467"/>
      <c r="R26" s="467"/>
      <c r="S26" s="468"/>
      <c r="T26" s="79"/>
      <c r="U26" s="79"/>
      <c r="V26" s="469"/>
      <c r="W26" s="469"/>
      <c r="X26" s="469"/>
      <c r="Y26" s="469"/>
      <c r="Z26" s="469"/>
      <c r="AA26" s="469"/>
      <c r="AB26" s="469"/>
      <c r="AC26" s="469"/>
      <c r="AD26" s="469"/>
      <c r="AE26" s="469"/>
      <c r="AF26" s="469"/>
      <c r="AG26" s="469"/>
      <c r="AH26" s="469"/>
      <c r="AI26" s="469"/>
    </row>
    <row r="27" s="174" customFormat="true" ht="25.5" hidden="false" customHeight="true" outlineLevel="0" collapsed="false">
      <c r="A27" s="139"/>
      <c r="B27" s="139"/>
      <c r="C27" s="139"/>
      <c r="D27" s="139"/>
      <c r="E27" s="139"/>
      <c r="F27" s="139"/>
      <c r="G27" s="139"/>
      <c r="H27" s="139"/>
      <c r="I27" s="139"/>
      <c r="J27" s="139"/>
      <c r="K27" s="139"/>
      <c r="L27" s="417"/>
      <c r="M27" s="139"/>
      <c r="N27" s="139"/>
      <c r="O27" s="139"/>
      <c r="S27" s="470" t="s">
        <v>37</v>
      </c>
      <c r="T27" s="470"/>
      <c r="U27" s="471"/>
      <c r="V27" s="472" t="str">
        <f aca="false">IF(TITLE_NAME_OR_PR_CHANGE="",IF(TITLE_NAME_OR_PR="","",TITLE_NAME_OR_PR),TITLE_NAME_OR_PR_CHANGE)</f>
        <v>Министерство тарифного регулирования Ярославской области</v>
      </c>
      <c r="W27" s="472"/>
      <c r="X27" s="472"/>
      <c r="Y27" s="472"/>
      <c r="Z27" s="472"/>
      <c r="AA27" s="472"/>
      <c r="AB27" s="42"/>
      <c r="AC27" s="472" t="str">
        <f aca="false">IF(TITLE_NAME_OR_PR_CHANGE="",IF(TITLE_NAME_OR_PR="","",TITLE_NAME_OR_PR),TITLE_NAME_OR_PR_CHANGE)</f>
        <v>Министерство тарифного регулирования Ярославской области</v>
      </c>
      <c r="AD27" s="472"/>
      <c r="AE27" s="472"/>
      <c r="AF27" s="472"/>
      <c r="AG27" s="472"/>
      <c r="AH27" s="472"/>
      <c r="AI27" s="42"/>
      <c r="AJ27" s="42"/>
      <c r="AK27" s="473"/>
      <c r="AL27" s="117"/>
      <c r="AM27" s="117"/>
      <c r="AN27" s="117"/>
      <c r="AO27" s="117"/>
      <c r="AP27" s="117"/>
    </row>
    <row r="28" s="174" customFormat="true" ht="18.75" hidden="false" customHeight="true" outlineLevel="0" collapsed="false">
      <c r="A28" s="139"/>
      <c r="B28" s="139"/>
      <c r="C28" s="139"/>
      <c r="D28" s="139"/>
      <c r="E28" s="139"/>
      <c r="F28" s="139"/>
      <c r="G28" s="139"/>
      <c r="H28" s="139"/>
      <c r="I28" s="139"/>
      <c r="J28" s="139"/>
      <c r="K28" s="139"/>
      <c r="L28" s="417"/>
      <c r="M28" s="139"/>
      <c r="N28" s="139"/>
      <c r="O28" s="139"/>
      <c r="S28" s="470" t="s">
        <v>437</v>
      </c>
      <c r="T28" s="470"/>
      <c r="U28" s="471"/>
      <c r="V28" s="474" t="str">
        <f aca="false">IF(TITLE_DATE_PR_CHANGE="",IF(TITLE_DATE_PR="","",TITLE_DATE_PR),TITLE_DATE_PR_CHANGE)</f>
        <v>45279.46460648148</v>
      </c>
      <c r="W28" s="474"/>
      <c r="X28" s="474"/>
      <c r="Y28" s="474"/>
      <c r="Z28" s="474"/>
      <c r="AA28" s="474"/>
      <c r="AB28" s="42"/>
      <c r="AC28" s="474" t="str">
        <f aca="false">IF(TITLE_DATE_PR_CHANGE="",IF(TITLE_DATE_PR="","",TITLE_DATE_PR),TITLE_DATE_PR_CHANGE)</f>
        <v>45279.46460648148</v>
      </c>
      <c r="AD28" s="474"/>
      <c r="AE28" s="474"/>
      <c r="AF28" s="474"/>
      <c r="AG28" s="474"/>
      <c r="AH28" s="474"/>
      <c r="AI28" s="42"/>
      <c r="AJ28" s="42"/>
      <c r="AK28" s="473"/>
      <c r="AL28" s="117"/>
      <c r="AM28" s="117"/>
      <c r="AN28" s="117"/>
      <c r="AO28" s="117"/>
      <c r="AP28" s="117"/>
    </row>
    <row r="29" s="174" customFormat="true" ht="18.75" hidden="false" customHeight="true" outlineLevel="0" collapsed="false">
      <c r="A29" s="139"/>
      <c r="B29" s="139"/>
      <c r="C29" s="139"/>
      <c r="D29" s="139"/>
      <c r="E29" s="139"/>
      <c r="F29" s="139"/>
      <c r="G29" s="139"/>
      <c r="H29" s="139"/>
      <c r="I29" s="139"/>
      <c r="J29" s="139"/>
      <c r="K29" s="139"/>
      <c r="L29" s="417"/>
      <c r="M29" s="139"/>
      <c r="N29" s="139"/>
      <c r="O29" s="139"/>
      <c r="S29" s="470" t="s">
        <v>438</v>
      </c>
      <c r="T29" s="470"/>
      <c r="U29" s="471"/>
      <c r="V29" s="472" t="str">
        <f aca="false">IF(TITLE_NUMBER_PR_CHANGE="",IF(TITLE_NUMBER_PR="","",TITLE_NUMBER_PR),TITLE_NUMBER_PR_CHANGE)</f>
        <v>403-гвс, 404-гвс, 406-гвс</v>
      </c>
      <c r="W29" s="472"/>
      <c r="X29" s="472"/>
      <c r="Y29" s="472"/>
      <c r="Z29" s="472"/>
      <c r="AA29" s="472"/>
      <c r="AB29" s="42"/>
      <c r="AC29" s="472" t="str">
        <f aca="false">IF(TITLE_NUMBER_PR_CHANGE="",IF(TITLE_NUMBER_PR="","",TITLE_NUMBER_PR),TITLE_NUMBER_PR_CHANGE)</f>
        <v>403-гвс, 404-гвс, 406-гвс</v>
      </c>
      <c r="AD29" s="472"/>
      <c r="AE29" s="472"/>
      <c r="AF29" s="472"/>
      <c r="AG29" s="472"/>
      <c r="AH29" s="472"/>
      <c r="AI29" s="42"/>
      <c r="AJ29" s="42"/>
      <c r="AK29" s="473"/>
      <c r="AL29" s="117"/>
      <c r="AM29" s="117"/>
      <c r="AN29" s="117"/>
      <c r="AO29" s="117"/>
      <c r="AP29" s="117"/>
    </row>
    <row r="30" s="174" customFormat="true" ht="18.75" hidden="false" customHeight="true" outlineLevel="0" collapsed="false">
      <c r="A30" s="139"/>
      <c r="B30" s="139"/>
      <c r="C30" s="139"/>
      <c r="D30" s="139"/>
      <c r="E30" s="139"/>
      <c r="F30" s="139"/>
      <c r="G30" s="139"/>
      <c r="H30" s="139"/>
      <c r="I30" s="139"/>
      <c r="J30" s="139"/>
      <c r="K30" s="139"/>
      <c r="L30" s="417"/>
      <c r="M30" s="139"/>
      <c r="N30" s="139"/>
      <c r="O30" s="139"/>
      <c r="S30" s="470" t="s">
        <v>39</v>
      </c>
      <c r="T30" s="470"/>
      <c r="U30" s="471"/>
      <c r="V30" s="472" t="str">
        <f aca="false">IF(TITLE_IST_PUB_CHANGE="",IF(TITLE_IST_PUB="","",TITLE_IST_PUB),TITLE_IST_PUB_CHANGE)</f>
        <v>официальный интернет- портал правовой информации www.pravo.gov.ru</v>
      </c>
      <c r="W30" s="472"/>
      <c r="X30" s="472"/>
      <c r="Y30" s="472"/>
      <c r="Z30" s="472"/>
      <c r="AA30" s="472"/>
      <c r="AB30" s="42"/>
      <c r="AC30" s="472" t="str">
        <f aca="false">IF(TITLE_IST_PUB_CHANGE="",IF(TITLE_IST_PUB="","",TITLE_IST_PUB),TITLE_IST_PUB_CHANGE)</f>
        <v>официальный интернет- портал правовой информации www.pravo.gov.ru</v>
      </c>
      <c r="AD30" s="472"/>
      <c r="AE30" s="472"/>
      <c r="AF30" s="472"/>
      <c r="AG30" s="472"/>
      <c r="AH30" s="472"/>
      <c r="AI30" s="42"/>
      <c r="AJ30" s="42"/>
      <c r="AK30" s="473"/>
      <c r="AL30" s="117"/>
      <c r="AM30" s="117"/>
      <c r="AN30" s="117"/>
      <c r="AO30" s="117"/>
      <c r="AP30" s="117"/>
    </row>
    <row r="31" customFormat="false" ht="14.25" hidden="true" customHeight="true" outlineLevel="0" collapsed="false">
      <c r="Q31" s="467"/>
      <c r="R31" s="467"/>
      <c r="S31" s="468"/>
      <c r="T31" s="79"/>
      <c r="U31" s="79"/>
      <c r="V31" s="469"/>
      <c r="W31" s="469"/>
      <c r="X31" s="469"/>
      <c r="Y31" s="469"/>
      <c r="Z31" s="469"/>
      <c r="AA31" s="469"/>
      <c r="AB31" s="469"/>
      <c r="AC31" s="469"/>
      <c r="AD31" s="469"/>
      <c r="AE31" s="469"/>
      <c r="AF31" s="469"/>
      <c r="AG31" s="469"/>
      <c r="AH31" s="469"/>
      <c r="AI31" s="469"/>
    </row>
    <row r="32" s="174" customFormat="true" ht="18.75" hidden="true" customHeight="true" outlineLevel="0" collapsed="false">
      <c r="A32" s="139"/>
      <c r="B32" s="139"/>
      <c r="C32" s="139"/>
      <c r="D32" s="139"/>
      <c r="E32" s="139"/>
      <c r="F32" s="139"/>
      <c r="G32" s="139"/>
      <c r="H32" s="139"/>
      <c r="I32" s="139"/>
      <c r="J32" s="139"/>
      <c r="K32" s="139"/>
      <c r="L32" s="417"/>
      <c r="M32" s="139"/>
      <c r="N32" s="139"/>
      <c r="O32" s="139"/>
      <c r="S32" s="470" t="s">
        <v>439</v>
      </c>
      <c r="T32" s="470"/>
      <c r="U32" s="471"/>
      <c r="V32" s="474" t="str">
        <f aca="false">IF(TITLE_DATE_PR_CHANGE="",IF(TITLE_DATE_PR="","",TITLE_DATE_PR),TITLE_DATE_PR_CHANGE)</f>
        <v>45279.46460648148</v>
      </c>
      <c r="W32" s="474"/>
      <c r="X32" s="474"/>
      <c r="Y32" s="474"/>
      <c r="Z32" s="474"/>
      <c r="AA32" s="474"/>
      <c r="AB32" s="42"/>
      <c r="AC32" s="474" t="str">
        <f aca="false">IF(TITLE_DATE_PR_CHANGE="",IF(TITLE_DATE_PR="","",TITLE_DATE_PR),TITLE_DATE_PR_CHANGE)</f>
        <v>45279.46460648148</v>
      </c>
      <c r="AD32" s="474"/>
      <c r="AE32" s="474"/>
      <c r="AF32" s="474"/>
      <c r="AG32" s="474"/>
      <c r="AH32" s="474"/>
      <c r="AI32" s="42"/>
      <c r="AJ32" s="42"/>
      <c r="AK32" s="473"/>
      <c r="AL32" s="117"/>
      <c r="AM32" s="117"/>
      <c r="AN32" s="117"/>
      <c r="AO32" s="117"/>
      <c r="AP32" s="117"/>
    </row>
    <row r="33" s="174" customFormat="true" ht="18.75" hidden="true" customHeight="true" outlineLevel="0" collapsed="false">
      <c r="A33" s="139"/>
      <c r="B33" s="139"/>
      <c r="C33" s="139"/>
      <c r="D33" s="139"/>
      <c r="E33" s="139"/>
      <c r="F33" s="139"/>
      <c r="G33" s="139"/>
      <c r="H33" s="139"/>
      <c r="I33" s="139"/>
      <c r="J33" s="139"/>
      <c r="K33" s="139"/>
      <c r="L33" s="417"/>
      <c r="M33" s="139"/>
      <c r="N33" s="139"/>
      <c r="O33" s="139"/>
      <c r="S33" s="470" t="s">
        <v>440</v>
      </c>
      <c r="T33" s="470"/>
      <c r="U33" s="471"/>
      <c r="V33" s="472" t="str">
        <f aca="false">IF(TITLE_NUMBER_PR_CHANGE="",IF(TITLE_NUMBER_PR="","",TITLE_NUMBER_PR),TITLE_NUMBER_PR_CHANGE)</f>
        <v>403-гвс, 404-гвс, 406-гвс</v>
      </c>
      <c r="W33" s="472"/>
      <c r="X33" s="472"/>
      <c r="Y33" s="472"/>
      <c r="Z33" s="472"/>
      <c r="AA33" s="472"/>
      <c r="AB33" s="42"/>
      <c r="AC33" s="472" t="str">
        <f aca="false">IF(TITLE_NUMBER_PR_CHANGE="",IF(TITLE_NUMBER_PR="","",TITLE_NUMBER_PR),TITLE_NUMBER_PR_CHANGE)</f>
        <v>403-гвс, 404-гвс, 406-гвс</v>
      </c>
      <c r="AD33" s="472"/>
      <c r="AE33" s="472"/>
      <c r="AF33" s="472"/>
      <c r="AG33" s="472"/>
      <c r="AH33" s="472"/>
      <c r="AI33" s="42"/>
      <c r="AJ33" s="42"/>
      <c r="AK33" s="473"/>
      <c r="AL33" s="117"/>
      <c r="AM33" s="117"/>
      <c r="AN33" s="117"/>
      <c r="AO33" s="117"/>
      <c r="AP33" s="117"/>
    </row>
    <row r="34" s="174" customFormat="true" ht="0.75" hidden="false" customHeight="true" outlineLevel="0" collapsed="false">
      <c r="A34" s="139"/>
      <c r="B34" s="139"/>
      <c r="C34" s="139"/>
      <c r="D34" s="139"/>
      <c r="E34" s="139"/>
      <c r="F34" s="139"/>
      <c r="G34" s="139"/>
      <c r="H34" s="139"/>
      <c r="I34" s="139"/>
      <c r="J34" s="139"/>
      <c r="K34" s="139"/>
      <c r="L34" s="417"/>
      <c r="M34" s="139"/>
      <c r="N34" s="139"/>
      <c r="O34" s="139"/>
      <c r="S34" s="42"/>
      <c r="T34" s="42"/>
      <c r="U34" s="127"/>
      <c r="V34" s="42"/>
      <c r="W34" s="42"/>
      <c r="X34" s="42"/>
      <c r="Y34" s="42"/>
      <c r="Z34" s="42"/>
      <c r="AA34" s="42"/>
      <c r="AB34" s="47" t="s">
        <v>441</v>
      </c>
      <c r="AC34" s="42"/>
      <c r="AD34" s="42"/>
      <c r="AE34" s="42"/>
      <c r="AF34" s="42"/>
      <c r="AG34" s="42"/>
      <c r="AH34" s="42"/>
      <c r="AI34" s="47" t="s">
        <v>441</v>
      </c>
      <c r="AL34" s="117"/>
      <c r="AM34" s="117"/>
      <c r="AN34" s="117"/>
      <c r="AO34" s="117"/>
      <c r="AP34" s="117"/>
    </row>
    <row r="35" customFormat="false" ht="14.25" hidden="false" customHeight="true" outlineLevel="0" collapsed="false">
      <c r="Q35" s="467"/>
      <c r="R35" s="467"/>
      <c r="S35" s="468"/>
      <c r="T35" s="79"/>
      <c r="U35" s="475"/>
      <c r="V35" s="476"/>
      <c r="W35" s="476"/>
      <c r="X35" s="476"/>
      <c r="Y35" s="476"/>
      <c r="Z35" s="476"/>
      <c r="AA35" s="476"/>
      <c r="AB35" s="476"/>
      <c r="AC35" s="476"/>
      <c r="AD35" s="476"/>
      <c r="AE35" s="476"/>
      <c r="AF35" s="476"/>
      <c r="AG35" s="476"/>
      <c r="AH35" s="476"/>
      <c r="AI35" s="476"/>
    </row>
    <row r="36" customFormat="false" ht="14.25" hidden="false" customHeight="true" outlineLevel="0" collapsed="false">
      <c r="Q36" s="467"/>
      <c r="R36" s="467"/>
      <c r="S36" s="133" t="s">
        <v>316</v>
      </c>
      <c r="T36" s="133"/>
      <c r="U36" s="133"/>
      <c r="V36" s="133"/>
      <c r="W36" s="133"/>
      <c r="X36" s="133"/>
      <c r="Y36" s="133"/>
      <c r="Z36" s="133"/>
      <c r="AA36" s="133"/>
      <c r="AB36" s="133"/>
      <c r="AC36" s="133"/>
      <c r="AD36" s="133"/>
      <c r="AE36" s="133"/>
      <c r="AF36" s="133"/>
      <c r="AG36" s="133"/>
      <c r="AH36" s="133"/>
      <c r="AI36" s="133"/>
      <c r="AJ36" s="133"/>
      <c r="AK36" s="133" t="s">
        <v>317</v>
      </c>
    </row>
    <row r="37" customFormat="false" ht="14.25" hidden="false" customHeight="true" outlineLevel="0" collapsed="false">
      <c r="Q37" s="467"/>
      <c r="R37" s="467"/>
      <c r="S37" s="477" t="s">
        <v>84</v>
      </c>
      <c r="T37" s="394" t="s">
        <v>442</v>
      </c>
      <c r="U37" s="478"/>
      <c r="V37" s="300" t="s">
        <v>443</v>
      </c>
      <c r="W37" s="300"/>
      <c r="X37" s="300"/>
      <c r="Y37" s="300"/>
      <c r="Z37" s="300"/>
      <c r="AA37" s="300"/>
      <c r="AB37" s="394" t="s">
        <v>444</v>
      </c>
      <c r="AC37" s="300" t="s">
        <v>443</v>
      </c>
      <c r="AD37" s="300"/>
      <c r="AE37" s="300"/>
      <c r="AF37" s="300"/>
      <c r="AG37" s="300"/>
      <c r="AH37" s="300"/>
      <c r="AI37" s="394" t="s">
        <v>445</v>
      </c>
      <c r="AJ37" s="479" t="s">
        <v>446</v>
      </c>
      <c r="AK37" s="133"/>
    </row>
    <row r="38" customFormat="false" ht="33.75" hidden="false" customHeight="true" outlineLevel="0" collapsed="false">
      <c r="Q38" s="467"/>
      <c r="R38" s="467"/>
      <c r="S38" s="477"/>
      <c r="T38" s="394"/>
      <c r="U38" s="480"/>
      <c r="V38" s="266" t="s">
        <v>503</v>
      </c>
      <c r="W38" s="133" t="s">
        <v>449</v>
      </c>
      <c r="X38" s="133"/>
      <c r="Y38" s="133" t="s">
        <v>450</v>
      </c>
      <c r="Z38" s="133"/>
      <c r="AA38" s="133"/>
      <c r="AB38" s="394"/>
      <c r="AC38" s="266" t="s">
        <v>503</v>
      </c>
      <c r="AD38" s="133" t="s">
        <v>449</v>
      </c>
      <c r="AE38" s="133"/>
      <c r="AF38" s="133" t="s">
        <v>450</v>
      </c>
      <c r="AG38" s="133"/>
      <c r="AH38" s="133"/>
      <c r="AI38" s="394"/>
      <c r="AJ38" s="479"/>
      <c r="AK38" s="133"/>
    </row>
    <row r="39" customFormat="false" ht="86.25" hidden="false" customHeight="true" outlineLevel="0" collapsed="false">
      <c r="A39" s="139"/>
      <c r="B39" s="139" t="s">
        <v>142</v>
      </c>
      <c r="C39" s="139" t="s">
        <v>143</v>
      </c>
      <c r="D39" s="139" t="s">
        <v>144</v>
      </c>
      <c r="E39" s="417" t="s">
        <v>451</v>
      </c>
      <c r="F39" s="417" t="s">
        <v>452</v>
      </c>
      <c r="G39" s="417" t="s">
        <v>453</v>
      </c>
      <c r="H39" s="417"/>
      <c r="I39" s="417" t="s">
        <v>504</v>
      </c>
      <c r="J39" s="417" t="s">
        <v>456</v>
      </c>
      <c r="K39" s="417" t="s">
        <v>505</v>
      </c>
      <c r="L39" s="417" t="s">
        <v>432</v>
      </c>
      <c r="Q39" s="467"/>
      <c r="R39" s="467"/>
      <c r="S39" s="477"/>
      <c r="T39" s="394"/>
      <c r="U39" s="481"/>
      <c r="V39" s="266" t="s">
        <v>532</v>
      </c>
      <c r="W39" s="184" t="s">
        <v>533</v>
      </c>
      <c r="X39" s="184" t="s">
        <v>508</v>
      </c>
      <c r="Y39" s="184" t="s">
        <v>460</v>
      </c>
      <c r="Z39" s="184" t="s">
        <v>461</v>
      </c>
      <c r="AA39" s="184"/>
      <c r="AB39" s="394"/>
      <c r="AC39" s="266" t="s">
        <v>532</v>
      </c>
      <c r="AD39" s="184" t="s">
        <v>533</v>
      </c>
      <c r="AE39" s="184" t="s">
        <v>508</v>
      </c>
      <c r="AF39" s="184" t="s">
        <v>460</v>
      </c>
      <c r="AG39" s="184" t="s">
        <v>461</v>
      </c>
      <c r="AH39" s="184"/>
      <c r="AI39" s="394"/>
      <c r="AJ39" s="479"/>
      <c r="AK39" s="133"/>
    </row>
    <row r="40" s="119" customFormat="true" ht="11.25" hidden="true" customHeight="true" outlineLevel="0" collapsed="false">
      <c r="A40" s="139"/>
      <c r="B40" s="139"/>
      <c r="C40" s="139"/>
      <c r="D40" s="139"/>
      <c r="E40" s="139"/>
      <c r="F40" s="139"/>
      <c r="G40" s="139"/>
      <c r="H40" s="139"/>
      <c r="I40" s="139"/>
      <c r="J40" s="139"/>
      <c r="K40" s="139"/>
      <c r="L40" s="417"/>
      <c r="M40" s="51"/>
      <c r="N40" s="51"/>
      <c r="O40" s="51"/>
      <c r="P40" s="482"/>
      <c r="Q40" s="483"/>
      <c r="R40" s="484" t="n">
        <v>1</v>
      </c>
      <c r="S40" s="485" t="s">
        <v>117</v>
      </c>
      <c r="T40" s="486" t="s">
        <v>99</v>
      </c>
      <c r="U40" s="487" t="str">
        <f aca="true">OFFSET(U40,0,-1)</f>
        <v>2</v>
      </c>
      <c r="V40" s="488" t="n">
        <f aca="true">OFFSET(V40,0,-1)+1</f>
        <v>3</v>
      </c>
      <c r="W40" s="488" t="n">
        <f aca="true">OFFSET(W40,0,-1)+1</f>
        <v>4</v>
      </c>
      <c r="X40" s="488" t="n">
        <f aca="true">OFFSET(X40,0,-1)+1</f>
        <v>5</v>
      </c>
      <c r="Y40" s="488" t="n">
        <f aca="true">OFFSET(Y40,0,-1)+1</f>
        <v>6</v>
      </c>
      <c r="Z40" s="488" t="n">
        <f aca="true">OFFSET(Z40,0,-1)+1</f>
        <v>7</v>
      </c>
      <c r="AA40" s="488"/>
      <c r="AB40" s="488" t="n">
        <f aca="true">OFFSET(AB40,0,-2)+1</f>
        <v>8</v>
      </c>
      <c r="AC40" s="488" t="n">
        <f aca="true">OFFSET(AC40,0,-1)+1</f>
        <v>9</v>
      </c>
      <c r="AD40" s="488" t="n">
        <f aca="true">OFFSET(AD40,0,-1)+1</f>
        <v>10</v>
      </c>
      <c r="AE40" s="488" t="n">
        <f aca="true">OFFSET(AE40,0,-1)+1</f>
        <v>11</v>
      </c>
      <c r="AF40" s="488" t="n">
        <f aca="true">OFFSET(AF40,0,-1)+1</f>
        <v>12</v>
      </c>
      <c r="AG40" s="488" t="n">
        <f aca="true">OFFSET(AG40,0,-1)+1</f>
        <v>13</v>
      </c>
      <c r="AH40" s="488"/>
      <c r="AI40" s="488" t="n">
        <f aca="true">OFFSET(AI40,0,-2)+1</f>
        <v>14</v>
      </c>
      <c r="AJ40" s="487" t="n">
        <f aca="true">OFFSET(AJ40,0,-1)</f>
        <v>14</v>
      </c>
      <c r="AK40" s="488" t="n">
        <f aca="true">OFFSET(AK40,0,-1)+1</f>
        <v>15</v>
      </c>
      <c r="AL40" s="47"/>
      <c r="AM40" s="47"/>
      <c r="AN40" s="47"/>
      <c r="AO40" s="47"/>
      <c r="AP40" s="47"/>
    </row>
    <row r="41" customFormat="false" ht="23.25" hidden="false" customHeight="true" outlineLevel="0" collapsed="false">
      <c r="A41" s="415" t="s">
        <v>282</v>
      </c>
      <c r="B41" s="415"/>
      <c r="C41" s="415"/>
      <c r="D41" s="415"/>
      <c r="E41" s="416" t="n">
        <v>1</v>
      </c>
      <c r="F41" s="415"/>
      <c r="G41" s="415"/>
      <c r="H41" s="415"/>
      <c r="I41" s="415"/>
      <c r="J41" s="415"/>
      <c r="K41" s="415"/>
      <c r="L41" s="417"/>
      <c r="M41" s="40"/>
      <c r="N41" s="40"/>
      <c r="O41" s="40"/>
      <c r="Q41" s="131"/>
      <c r="R41" s="418"/>
      <c r="S41" s="419" t="n">
        <f aca="false">INDEX(PT_DIFFERENTIATION_NUM_NTAR,MATCH(A41,PT_DIFFERENTIATION_NTAR_ID,0))</f>
        <v>0</v>
      </c>
      <c r="T41" s="420" t="s">
        <v>130</v>
      </c>
      <c r="U41" s="421"/>
      <c r="V41" s="422"/>
      <c r="W41" s="422"/>
      <c r="X41" s="422"/>
      <c r="Y41" s="422"/>
      <c r="Z41" s="422"/>
      <c r="AA41" s="422"/>
      <c r="AB41" s="422"/>
      <c r="AC41" s="422" t="str">
        <f aca="false">INDEX(PT_DIFFERENTIATION_NTAR,MATCH(A41,PT_DIFFERENTIATION_NTAR_ID,0))</f>
        <v/>
      </c>
      <c r="AD41" s="422"/>
      <c r="AE41" s="422"/>
      <c r="AF41" s="422"/>
      <c r="AG41" s="422"/>
      <c r="AH41" s="422"/>
      <c r="AI41" s="422"/>
      <c r="AJ41" s="422"/>
      <c r="AK41" s="42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7"/>
      <c r="AN41" s="117" t="str">
        <f aca="false">IF(T41="","",T41)</f>
        <v>Наименование тарифа</v>
      </c>
      <c r="AO41" s="117"/>
      <c r="AP41" s="117"/>
    </row>
    <row r="42" customFormat="false" ht="23.25" hidden="false" customHeight="true" outlineLevel="0" collapsed="false">
      <c r="A42" s="415" t="s">
        <v>282</v>
      </c>
      <c r="B42" s="415" t="s">
        <v>283</v>
      </c>
      <c r="C42" s="415"/>
      <c r="D42" s="415"/>
      <c r="E42" s="416"/>
      <c r="F42" s="416" t="n">
        <v>1</v>
      </c>
      <c r="G42" s="415"/>
      <c r="H42" s="415"/>
      <c r="I42" s="415"/>
      <c r="J42" s="415"/>
      <c r="K42" s="415"/>
      <c r="L42" s="417"/>
      <c r="M42" s="40"/>
      <c r="N42" s="40"/>
      <c r="O42" s="40"/>
      <c r="P42" s="43"/>
      <c r="Q42" s="425"/>
      <c r="R42" s="426"/>
      <c r="S42" s="419" t="str">
        <f aca="false">INDEX(PT_DIFFERENTIATION_NUM_TER,MATCH(B42,PT_DIFFERENTIATION_TER_ID,0))</f>
        <v>.</v>
      </c>
      <c r="T42" s="427" t="s">
        <v>413</v>
      </c>
      <c r="U42" s="421"/>
      <c r="V42" s="422"/>
      <c r="W42" s="422"/>
      <c r="X42" s="422"/>
      <c r="Y42" s="422"/>
      <c r="Z42" s="422"/>
      <c r="AA42" s="422"/>
      <c r="AB42" s="422"/>
      <c r="AC42" s="422" t="str">
        <f aca="false">INDEX(PT_DIFFERENTIATION_TER,MATCH(B42,PT_DIFFERENTIATION_TER_ID,0))</f>
        <v/>
      </c>
      <c r="AD42" s="422"/>
      <c r="AE42" s="422"/>
      <c r="AF42" s="422"/>
      <c r="AG42" s="422"/>
      <c r="AH42" s="422"/>
      <c r="AI42" s="422"/>
      <c r="AJ42" s="422"/>
      <c r="AK42" s="424" t="s">
        <v>414</v>
      </c>
      <c r="AM42" s="117"/>
      <c r="AN42" s="117" t="str">
        <f aca="false">IF(T42="","",T42)</f>
        <v>Территория действия тарифа</v>
      </c>
      <c r="AO42" s="117"/>
      <c r="AP42" s="117"/>
    </row>
    <row r="43" customFormat="false" ht="23.25" hidden="false" customHeight="true" outlineLevel="0" collapsed="false">
      <c r="A43" s="415" t="s">
        <v>282</v>
      </c>
      <c r="B43" s="415" t="s">
        <v>283</v>
      </c>
      <c r="C43" s="415" t="s">
        <v>284</v>
      </c>
      <c r="D43" s="415"/>
      <c r="E43" s="416"/>
      <c r="F43" s="416"/>
      <c r="G43" s="416" t="n">
        <v>1</v>
      </c>
      <c r="H43" s="415"/>
      <c r="I43" s="415"/>
      <c r="J43" s="415"/>
      <c r="K43" s="415"/>
      <c r="L43" s="417"/>
      <c r="M43" s="40"/>
      <c r="N43" s="40"/>
      <c r="O43" s="40"/>
      <c r="P43" s="428"/>
      <c r="Q43" s="425"/>
      <c r="R43" s="426"/>
      <c r="S43" s="419" t="str">
        <f aca="false">INDEX(PT_DIFFERENTIATION_NUM_CS,MATCH(C43,PT_DIFFERENTIATION_CS_ID,0))</f>
        <v>..</v>
      </c>
      <c r="T43" s="429" t="s">
        <v>530</v>
      </c>
      <c r="U43" s="421"/>
      <c r="V43" s="422"/>
      <c r="W43" s="422"/>
      <c r="X43" s="422"/>
      <c r="Y43" s="422"/>
      <c r="Z43" s="422"/>
      <c r="AA43" s="422"/>
      <c r="AB43" s="422"/>
      <c r="AC43" s="422" t="str">
        <f aca="false">INDEX(PT_DIFFERENTIATION_CS,MATCH(C43,PT_DIFFERENTIATION_CS_ID,0))</f>
        <v/>
      </c>
      <c r="AD43" s="422"/>
      <c r="AE43" s="422"/>
      <c r="AF43" s="422"/>
      <c r="AG43" s="422"/>
      <c r="AH43" s="422"/>
      <c r="AI43" s="422"/>
      <c r="AJ43" s="422"/>
      <c r="AK43" s="424" t="s">
        <v>531</v>
      </c>
      <c r="AM43" s="117"/>
      <c r="AN43" s="117" t="str">
        <f aca="false">IF(T43="","",T43)</f>
        <v>Наименование централизованной системы водоотведения</v>
      </c>
      <c r="AO43" s="117"/>
      <c r="AP43" s="117"/>
    </row>
    <row r="44" customFormat="false" ht="23.25" hidden="false" customHeight="true" outlineLevel="0" collapsed="false">
      <c r="A44" s="415" t="s">
        <v>282</v>
      </c>
      <c r="B44" s="415" t="s">
        <v>283</v>
      </c>
      <c r="C44" s="415" t="s">
        <v>284</v>
      </c>
      <c r="D44" s="415" t="s">
        <v>534</v>
      </c>
      <c r="E44" s="416"/>
      <c r="F44" s="416"/>
      <c r="G44" s="416"/>
      <c r="H44" s="560"/>
      <c r="I44" s="431" t="str">
        <f aca="false">S43&amp;".1"</f>
        <v>...1</v>
      </c>
      <c r="J44" s="415"/>
      <c r="K44" s="415"/>
      <c r="L44" s="417"/>
      <c r="P44" s="120" t="n">
        <v>1</v>
      </c>
      <c r="Q44" s="120"/>
      <c r="R44" s="432"/>
      <c r="S44" s="419" t="str">
        <f aca="false">$I44</f>
        <v>...1</v>
      </c>
      <c r="T44" s="433" t="s">
        <v>497</v>
      </c>
      <c r="U44" s="421"/>
      <c r="V44" s="561"/>
      <c r="W44" s="561"/>
      <c r="X44" s="561"/>
      <c r="Y44" s="561"/>
      <c r="Z44" s="561"/>
      <c r="AA44" s="561"/>
      <c r="AB44" s="561"/>
      <c r="AC44" s="245"/>
      <c r="AD44" s="245"/>
      <c r="AE44" s="245"/>
      <c r="AF44" s="245"/>
      <c r="AG44" s="245"/>
      <c r="AH44" s="245"/>
      <c r="AI44" s="245"/>
      <c r="AJ44" s="245"/>
      <c r="AK44" s="424" t="s">
        <v>498</v>
      </c>
      <c r="AM44" s="117"/>
      <c r="AN44" s="117" t="str">
        <f aca="false">IF(T44="","",T44)</f>
        <v>Наименование признака дифференциации</v>
      </c>
      <c r="AO44" s="117"/>
      <c r="AP44" s="117"/>
    </row>
    <row r="45" customFormat="false" ht="23.25" hidden="false" customHeight="true" outlineLevel="0" collapsed="false">
      <c r="A45" s="415" t="s">
        <v>282</v>
      </c>
      <c r="B45" s="415" t="s">
        <v>283</v>
      </c>
      <c r="C45" s="415" t="s">
        <v>284</v>
      </c>
      <c r="D45" s="415" t="s">
        <v>534</v>
      </c>
      <c r="E45" s="416"/>
      <c r="F45" s="416"/>
      <c r="G45" s="416"/>
      <c r="H45" s="416"/>
      <c r="I45" s="431"/>
      <c r="J45" s="431" t="str">
        <f aca="false">I44&amp;".1"</f>
        <v>...1.1</v>
      </c>
      <c r="K45" s="415"/>
      <c r="L45" s="417" t="s">
        <v>422</v>
      </c>
      <c r="P45" s="120"/>
      <c r="Q45" s="120" t="n">
        <v>1</v>
      </c>
      <c r="R45" s="435"/>
      <c r="S45" s="419" t="str">
        <f aca="false">$J45</f>
        <v>...1.1</v>
      </c>
      <c r="T45" s="436" t="s">
        <v>423</v>
      </c>
      <c r="U45" s="421"/>
      <c r="V45" s="434"/>
      <c r="W45" s="434"/>
      <c r="X45" s="434"/>
      <c r="Y45" s="434"/>
      <c r="Z45" s="434"/>
      <c r="AA45" s="434"/>
      <c r="AB45" s="434"/>
      <c r="AC45" s="434"/>
      <c r="AD45" s="434"/>
      <c r="AE45" s="434"/>
      <c r="AF45" s="434"/>
      <c r="AG45" s="434"/>
      <c r="AH45" s="434"/>
      <c r="AI45" s="434"/>
      <c r="AJ45" s="434"/>
      <c r="AK45" s="514" t="s">
        <v>499</v>
      </c>
      <c r="AM45" s="117"/>
      <c r="AN45" s="117" t="str">
        <f aca="false">IF(T45="","",T45)</f>
        <v>Группа потребителей</v>
      </c>
      <c r="AO45" s="117"/>
      <c r="AP45" s="117"/>
    </row>
    <row r="46" customFormat="false" ht="23.25" hidden="false" customHeight="true" outlineLevel="0" collapsed="false">
      <c r="A46" s="415" t="s">
        <v>282</v>
      </c>
      <c r="B46" s="415" t="s">
        <v>283</v>
      </c>
      <c r="C46" s="415" t="s">
        <v>284</v>
      </c>
      <c r="D46" s="415" t="s">
        <v>534</v>
      </c>
      <c r="E46" s="416"/>
      <c r="F46" s="416"/>
      <c r="G46" s="416"/>
      <c r="H46" s="416"/>
      <c r="I46" s="431"/>
      <c r="J46" s="431"/>
      <c r="K46" s="431" t="str">
        <f aca="false">J45&amp;".1"</f>
        <v>...1.1.1</v>
      </c>
      <c r="L46" s="417"/>
      <c r="P46" s="120"/>
      <c r="Q46" s="120"/>
      <c r="R46" s="435" t="n">
        <v>1</v>
      </c>
      <c r="S46" s="419" t="str">
        <f aca="false">$K46</f>
        <v>...1.1.1</v>
      </c>
      <c r="T46" s="562"/>
      <c r="U46" s="421"/>
      <c r="V46" s="461"/>
      <c r="W46" s="461"/>
      <c r="X46" s="462"/>
      <c r="Y46" s="463"/>
      <c r="Z46" s="464" t="s">
        <v>63</v>
      </c>
      <c r="AA46" s="463"/>
      <c r="AB46" s="464" t="s">
        <v>63</v>
      </c>
      <c r="AC46" s="438"/>
      <c r="AD46" s="438"/>
      <c r="AE46" s="440"/>
      <c r="AF46" s="441"/>
      <c r="AG46" s="203" t="s">
        <v>63</v>
      </c>
      <c r="AH46" s="441"/>
      <c r="AI46" s="203" t="s">
        <v>53</v>
      </c>
      <c r="AJ46" s="563"/>
      <c r="AK46" s="56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7"/>
      <c r="AN46" s="117" t="str">
        <f aca="false">IF(T46="","",T46)</f>
        <v/>
      </c>
      <c r="AO46" s="117"/>
      <c r="AP46" s="117"/>
    </row>
    <row r="47" customFormat="false" ht="12.8" hidden="false" customHeight="false" outlineLevel="0" collapsed="false">
      <c r="A47" s="415" t="s">
        <v>282</v>
      </c>
      <c r="B47" s="415" t="s">
        <v>283</v>
      </c>
      <c r="C47" s="415" t="s">
        <v>284</v>
      </c>
      <c r="D47" s="415" t="s">
        <v>534</v>
      </c>
      <c r="E47" s="416"/>
      <c r="F47" s="416"/>
      <c r="G47" s="416"/>
      <c r="H47" s="416"/>
      <c r="I47" s="431"/>
      <c r="J47" s="431"/>
      <c r="K47" s="431"/>
      <c r="L47" s="417"/>
      <c r="P47" s="120"/>
      <c r="Q47" s="120"/>
      <c r="R47" s="435"/>
      <c r="S47" s="396"/>
      <c r="T47" s="421"/>
      <c r="U47" s="421"/>
      <c r="V47" s="461"/>
      <c r="W47" s="461"/>
      <c r="X47" s="443" t="str">
        <f aca="false">Y46&amp;"-"&amp;AA46</f>
        <v>-</v>
      </c>
      <c r="Y47" s="463"/>
      <c r="Z47" s="463"/>
      <c r="AA47" s="463"/>
      <c r="AB47" s="463"/>
      <c r="AC47" s="439"/>
      <c r="AD47" s="439"/>
      <c r="AE47" s="443" t="str">
        <f aca="false">AF46&amp;"-"&amp;AH46</f>
        <v>-</v>
      </c>
      <c r="AF47" s="441"/>
      <c r="AG47" s="203"/>
      <c r="AH47" s="441"/>
      <c r="AI47" s="203"/>
      <c r="AJ47" s="565"/>
      <c r="AK47" s="564"/>
      <c r="AM47" s="117"/>
      <c r="AN47" s="117" t="str">
        <f aca="false">IF(T47="","",T47)</f>
        <v/>
      </c>
      <c r="AO47" s="117"/>
      <c r="AP47" s="117"/>
    </row>
    <row r="48" customFormat="false" ht="21" hidden="false" customHeight="true" outlineLevel="0" collapsed="false">
      <c r="A48" s="415" t="s">
        <v>282</v>
      </c>
      <c r="B48" s="415" t="s">
        <v>283</v>
      </c>
      <c r="C48" s="415" t="s">
        <v>284</v>
      </c>
      <c r="D48" s="415" t="s">
        <v>534</v>
      </c>
      <c r="E48" s="416"/>
      <c r="F48" s="416"/>
      <c r="G48" s="416"/>
      <c r="H48" s="416"/>
      <c r="I48" s="431"/>
      <c r="J48" s="431"/>
      <c r="K48" s="415"/>
      <c r="L48" s="417"/>
      <c r="P48" s="120"/>
      <c r="Q48" s="120"/>
      <c r="R48" s="432"/>
      <c r="S48" s="444"/>
      <c r="T48" s="447" t="s">
        <v>500</v>
      </c>
      <c r="U48" s="193"/>
      <c r="V48" s="193"/>
      <c r="W48" s="193"/>
      <c r="X48" s="193"/>
      <c r="Y48" s="193"/>
      <c r="Z48" s="193"/>
      <c r="AA48" s="193"/>
      <c r="AB48" s="193"/>
      <c r="AC48" s="193"/>
      <c r="AD48" s="193"/>
      <c r="AE48" s="193"/>
      <c r="AF48" s="193"/>
      <c r="AG48" s="193"/>
      <c r="AH48" s="193"/>
      <c r="AI48" s="193"/>
      <c r="AJ48" s="193"/>
      <c r="AK48" s="424" t="s">
        <v>501</v>
      </c>
      <c r="AM48" s="117"/>
      <c r="AN48" s="117" t="str">
        <f aca="false">IF(T48="","",T48)</f>
        <v>Добавить значение признака дифференциации</v>
      </c>
      <c r="AO48" s="117"/>
      <c r="AP48" s="117"/>
    </row>
    <row r="49" customFormat="false" ht="21" hidden="false" customHeight="true" outlineLevel="0" collapsed="false">
      <c r="A49" s="415" t="s">
        <v>282</v>
      </c>
      <c r="B49" s="415" t="s">
        <v>283</v>
      </c>
      <c r="C49" s="415" t="s">
        <v>284</v>
      </c>
      <c r="D49" s="415" t="s">
        <v>534</v>
      </c>
      <c r="E49" s="416"/>
      <c r="F49" s="416"/>
      <c r="G49" s="416"/>
      <c r="H49" s="416"/>
      <c r="I49" s="431"/>
      <c r="J49" s="415"/>
      <c r="K49" s="415"/>
      <c r="L49" s="417"/>
      <c r="P49" s="120"/>
      <c r="Q49" s="120"/>
      <c r="R49" s="432"/>
      <c r="S49" s="444"/>
      <c r="T49" s="451" t="s">
        <v>428</v>
      </c>
      <c r="U49" s="193"/>
      <c r="V49" s="193"/>
      <c r="W49" s="193"/>
      <c r="X49" s="193"/>
      <c r="Y49" s="193"/>
      <c r="Z49" s="193"/>
      <c r="AA49" s="193"/>
      <c r="AB49" s="448"/>
      <c r="AC49" s="193"/>
      <c r="AD49" s="193"/>
      <c r="AE49" s="193"/>
      <c r="AF49" s="193"/>
      <c r="AG49" s="193"/>
      <c r="AH49" s="193"/>
      <c r="AI49" s="448"/>
      <c r="AJ49" s="193"/>
      <c r="AK49" s="566"/>
      <c r="AM49" s="117"/>
      <c r="AN49" s="117" t="str">
        <f aca="false">IF(T49="","",T49)</f>
        <v>Добавить группу потребителей</v>
      </c>
      <c r="AO49" s="117"/>
      <c r="AP49" s="117"/>
    </row>
    <row r="50" customFormat="false" ht="21" hidden="false" customHeight="true" outlineLevel="0" collapsed="false">
      <c r="A50" s="415" t="s">
        <v>282</v>
      </c>
      <c r="B50" s="415" t="s">
        <v>283</v>
      </c>
      <c r="C50" s="415" t="s">
        <v>284</v>
      </c>
      <c r="D50" s="415" t="s">
        <v>534</v>
      </c>
      <c r="E50" s="416"/>
      <c r="F50" s="416"/>
      <c r="G50" s="416"/>
      <c r="H50" s="560"/>
      <c r="I50" s="415"/>
      <c r="J50" s="415"/>
      <c r="K50" s="415"/>
      <c r="L50" s="417"/>
      <c r="M50" s="40"/>
      <c r="N50" s="40"/>
      <c r="O50" s="45"/>
      <c r="P50" s="131"/>
      <c r="Q50" s="450"/>
      <c r="R50" s="418"/>
      <c r="S50" s="444"/>
      <c r="T50" s="567" t="s">
        <v>502</v>
      </c>
      <c r="U50" s="193"/>
      <c r="V50" s="193"/>
      <c r="W50" s="193"/>
      <c r="X50" s="193"/>
      <c r="Y50" s="193"/>
      <c r="Z50" s="193"/>
      <c r="AA50" s="193"/>
      <c r="AB50" s="448"/>
      <c r="AC50" s="193"/>
      <c r="AD50" s="193"/>
      <c r="AE50" s="193"/>
      <c r="AF50" s="193"/>
      <c r="AG50" s="193"/>
      <c r="AH50" s="193"/>
      <c r="AI50" s="448"/>
      <c r="AJ50" s="193"/>
      <c r="AK50" s="449"/>
      <c r="AM50" s="117"/>
      <c r="AN50" s="117" t="str">
        <f aca="false">IF(T50="","",T50)</f>
        <v>Добавить наименование признака дифференциации</v>
      </c>
      <c r="AO50" s="117"/>
      <c r="AP50" s="117"/>
    </row>
    <row r="51" s="47" customFormat="true" ht="12.8" hidden="false" customHeight="false" outlineLevel="0" collapsed="false">
      <c r="A51" s="121" t="s">
        <v>282</v>
      </c>
      <c r="B51" s="121" t="s">
        <v>283</v>
      </c>
      <c r="C51" s="121"/>
      <c r="D51" s="121"/>
      <c r="E51" s="416"/>
      <c r="F51" s="416"/>
      <c r="G51" s="121"/>
      <c r="H51" s="121"/>
      <c r="I51" s="121"/>
      <c r="J51" s="121"/>
      <c r="K51" s="121"/>
      <c r="L51" s="191"/>
      <c r="M51" s="456"/>
      <c r="N51" s="456"/>
      <c r="P51" s="155"/>
      <c r="Q51" s="452"/>
      <c r="R51" s="155"/>
      <c r="S51" s="457"/>
      <c r="T51" s="460" t="s">
        <v>261</v>
      </c>
      <c r="U51" s="459"/>
      <c r="V51" s="459"/>
      <c r="W51" s="459"/>
      <c r="X51" s="459"/>
      <c r="Y51" s="459"/>
      <c r="Z51" s="459"/>
      <c r="AA51" s="459"/>
      <c r="AB51" s="459"/>
      <c r="AC51" s="459"/>
      <c r="AD51" s="459"/>
      <c r="AE51" s="459"/>
      <c r="AF51" s="459"/>
      <c r="AG51" s="459"/>
      <c r="AH51" s="459"/>
      <c r="AI51" s="459"/>
      <c r="AJ51" s="459"/>
      <c r="AK51" s="459"/>
      <c r="AM51" s="117"/>
      <c r="AN51" s="117" t="str">
        <f aca="false">IF(T51="","",T51)</f>
        <v>Добавить централизованную систему для дифференциации</v>
      </c>
      <c r="AO51" s="117"/>
      <c r="AP51" s="117"/>
    </row>
    <row r="52" s="47" customFormat="true" ht="12.8" hidden="false" customHeight="false" outlineLevel="0" collapsed="false">
      <c r="A52" s="121" t="s">
        <v>282</v>
      </c>
      <c r="B52" s="121"/>
      <c r="C52" s="121"/>
      <c r="D52" s="121"/>
      <c r="E52" s="416"/>
      <c r="F52" s="121"/>
      <c r="G52" s="121"/>
      <c r="H52" s="121"/>
      <c r="I52" s="121"/>
      <c r="J52" s="121"/>
      <c r="K52" s="121"/>
      <c r="L52" s="191"/>
      <c r="M52" s="456"/>
      <c r="N52" s="456"/>
      <c r="P52" s="155"/>
      <c r="Q52" s="452"/>
      <c r="R52" s="155"/>
      <c r="S52" s="457"/>
      <c r="T52" s="460" t="s">
        <v>268</v>
      </c>
      <c r="U52" s="459"/>
      <c r="V52" s="459"/>
      <c r="W52" s="459"/>
      <c r="X52" s="459"/>
      <c r="Y52" s="459"/>
      <c r="Z52" s="459"/>
      <c r="AA52" s="459"/>
      <c r="AB52" s="459"/>
      <c r="AC52" s="459"/>
      <c r="AD52" s="459"/>
      <c r="AE52" s="459"/>
      <c r="AF52" s="459"/>
      <c r="AG52" s="459"/>
      <c r="AH52" s="459"/>
      <c r="AI52" s="459"/>
      <c r="AJ52" s="459"/>
      <c r="AK52" s="459"/>
      <c r="AM52" s="117"/>
      <c r="AN52" s="117" t="str">
        <f aca="false">IF(T52="","",T52)</f>
        <v>Добавить территорию для дифференциации</v>
      </c>
      <c r="AO52" s="117"/>
      <c r="AP52" s="117"/>
    </row>
    <row r="53" s="47" customFormat="true" ht="12.8" hidden="false" customHeight="false" outlineLevel="0" collapsed="false">
      <c r="A53" s="121"/>
      <c r="B53" s="121"/>
      <c r="C53" s="121"/>
      <c r="D53" s="121"/>
      <c r="E53" s="121"/>
      <c r="F53" s="121"/>
      <c r="G53" s="121"/>
      <c r="H53" s="121"/>
      <c r="I53" s="121"/>
      <c r="J53" s="121"/>
      <c r="K53" s="121"/>
      <c r="L53" s="191"/>
      <c r="M53" s="456"/>
      <c r="N53" s="456"/>
      <c r="P53" s="155"/>
      <c r="Q53" s="452"/>
      <c r="R53" s="155"/>
      <c r="S53" s="457"/>
      <c r="T53" s="460" t="s">
        <v>269</v>
      </c>
      <c r="U53" s="459"/>
      <c r="V53" s="459"/>
      <c r="W53" s="459"/>
      <c r="X53" s="459"/>
      <c r="Y53" s="459"/>
      <c r="Z53" s="459"/>
      <c r="AA53" s="459"/>
      <c r="AB53" s="459"/>
      <c r="AC53" s="459"/>
      <c r="AD53" s="459"/>
      <c r="AE53" s="459"/>
      <c r="AF53" s="459"/>
      <c r="AG53" s="459"/>
      <c r="AH53" s="459"/>
      <c r="AI53" s="459"/>
      <c r="AJ53" s="459"/>
      <c r="AK53" s="459"/>
      <c r="AM53" s="117"/>
      <c r="AN53" s="117" t="str">
        <f aca="false">IF(T53="","",T53)</f>
        <v>Добавить наименование тарифа</v>
      </c>
      <c r="AO53" s="117"/>
      <c r="AP53" s="117"/>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2"/>
      <c r="T55" s="491"/>
      <c r="U55" s="491"/>
      <c r="V55" s="491"/>
      <c r="W55" s="491"/>
      <c r="X55" s="491"/>
      <c r="Y55" s="491"/>
      <c r="Z55" s="491"/>
      <c r="AA55" s="491"/>
      <c r="AB55" s="491"/>
      <c r="AC55" s="491"/>
      <c r="AD55" s="491"/>
      <c r="AE55" s="491"/>
      <c r="AF55" s="491"/>
      <c r="AG55" s="491"/>
      <c r="AH55" s="491"/>
      <c r="AI55" s="491"/>
      <c r="AJ55" s="491"/>
      <c r="AK55" s="491"/>
    </row>
    <row r="56" customFormat="false" ht="14.25" hidden="false" customHeight="true" outlineLevel="0" collapsed="false">
      <c r="O56" s="45"/>
    </row>
    <row r="57" customFormat="false" ht="14.25" hidden="false" customHeight="true" outlineLevel="0" collapsed="false">
      <c r="O57" s="45"/>
      <c r="S57" s="412"/>
      <c r="T57" s="491"/>
      <c r="U57" s="491"/>
      <c r="V57" s="491"/>
      <c r="W57" s="491"/>
      <c r="X57" s="491"/>
      <c r="Y57" s="491"/>
      <c r="Z57" s="491"/>
      <c r="AA57" s="491"/>
      <c r="AB57" s="491"/>
      <c r="AC57" s="491"/>
      <c r="AD57" s="491"/>
      <c r="AE57" s="491"/>
      <c r="AF57" s="491"/>
      <c r="AG57" s="491"/>
      <c r="AH57" s="491"/>
      <c r="AI57" s="491"/>
      <c r="AJ57" s="491"/>
      <c r="AK57" s="491"/>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71"/>
    <col collapsed="false" customWidth="true" hidden="false" outlineLevel="0" max="18" min="17" style="414" width="3.71"/>
    <col collapsed="false" customWidth="true" hidden="false" outlineLevel="0" max="19" min="19" style="75" width="12.71"/>
    <col collapsed="false" customWidth="true" hidden="false" outlineLevel="0" max="20" min="20" style="42" width="35.71"/>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7" width="10.57"/>
    <col collapsed="false" customWidth="true" hidden="false" outlineLevel="0" max="40" min="40" style="47" width="11.14"/>
    <col collapsed="false" customWidth="false" hidden="false" outlineLevel="0" max="42" min="41" style="47" width="10.57"/>
  </cols>
  <sheetData>
    <row r="1" customFormat="false" ht="14.25" hidden="true" customHeight="true" outlineLevel="0" collapsed="false"/>
    <row r="2" customFormat="false" ht="23.25" hidden="true" customHeight="true" outlineLevel="0" collapsed="false">
      <c r="A2" s="415"/>
      <c r="B2" s="415"/>
      <c r="C2" s="415"/>
      <c r="D2" s="415"/>
      <c r="E2" s="416" t="n">
        <v>1</v>
      </c>
      <c r="F2" s="415"/>
      <c r="G2" s="415"/>
      <c r="H2" s="415"/>
      <c r="I2" s="415"/>
      <c r="J2" s="415"/>
      <c r="K2" s="415"/>
      <c r="L2" s="417"/>
      <c r="M2" s="40"/>
      <c r="N2" s="40"/>
      <c r="O2" s="40"/>
      <c r="Q2" s="131"/>
      <c r="R2" s="418"/>
      <c r="S2" s="419" t="e">
        <f aca="false">INDEX(PT_DIFFERENTIATION_NUM_NTAR,MATCH(A2,PT_DIFFERENTIATION_NTAR_ID,0))</f>
        <v>#N/A</v>
      </c>
      <c r="T2" s="420" t="s">
        <v>130</v>
      </c>
      <c r="U2" s="421"/>
      <c r="V2" s="422"/>
      <c r="W2" s="422"/>
      <c r="X2" s="422"/>
      <c r="Y2" s="422"/>
      <c r="Z2" s="422"/>
      <c r="AA2" s="422"/>
      <c r="AB2" s="422"/>
      <c r="AC2" s="422" t="e">
        <f aca="false">INDEX(PT_DIFFERENTIATION_NTAR,MATCH(A2,PT_DIFFERENTIATION_NTAR_ID,0))</f>
        <v>#N/A</v>
      </c>
      <c r="AD2" s="422"/>
      <c r="AE2" s="422"/>
      <c r="AF2" s="422"/>
      <c r="AG2" s="422"/>
      <c r="AH2" s="422"/>
      <c r="AI2" s="422"/>
      <c r="AJ2" s="422"/>
      <c r="AK2" s="42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7"/>
      <c r="AN2" s="117" t="str">
        <f aca="false">IF(T2="","",T2)</f>
        <v>Наименование тарифа</v>
      </c>
      <c r="AO2" s="117"/>
      <c r="AP2" s="117"/>
    </row>
    <row r="3" customFormat="false" ht="23.25" hidden="true" customHeight="true" outlineLevel="0" collapsed="false">
      <c r="A3" s="415"/>
      <c r="B3" s="415"/>
      <c r="C3" s="415"/>
      <c r="D3" s="415"/>
      <c r="E3" s="416"/>
      <c r="F3" s="416" t="n">
        <v>1</v>
      </c>
      <c r="G3" s="415"/>
      <c r="H3" s="415"/>
      <c r="I3" s="415"/>
      <c r="J3" s="415"/>
      <c r="K3" s="415"/>
      <c r="L3" s="417"/>
      <c r="M3" s="40"/>
      <c r="N3" s="40"/>
      <c r="O3" s="40"/>
      <c r="P3" s="43"/>
      <c r="Q3" s="425"/>
      <c r="R3" s="426"/>
      <c r="S3" s="419" t="e">
        <f aca="false">INDEX(PT_DIFFERENTIATION_NUM_TER,MATCH(B3,PT_DIFFERENTIATION_TER_ID,0))</f>
        <v>#N/A</v>
      </c>
      <c r="T3" s="427" t="s">
        <v>413</v>
      </c>
      <c r="U3" s="421"/>
      <c r="V3" s="422"/>
      <c r="W3" s="422"/>
      <c r="X3" s="422"/>
      <c r="Y3" s="422"/>
      <c r="Z3" s="422"/>
      <c r="AA3" s="422"/>
      <c r="AB3" s="422"/>
      <c r="AC3" s="422" t="e">
        <f aca="false">INDEX(PT_DIFFERENTIATION_TER,MATCH(B3,PT_DIFFERENTIATION_TER_ID,0))</f>
        <v>#N/A</v>
      </c>
      <c r="AD3" s="422"/>
      <c r="AE3" s="422"/>
      <c r="AF3" s="422"/>
      <c r="AG3" s="422"/>
      <c r="AH3" s="422"/>
      <c r="AI3" s="422"/>
      <c r="AJ3" s="422"/>
      <c r="AK3" s="424" t="s">
        <v>414</v>
      </c>
      <c r="AM3" s="117"/>
      <c r="AN3" s="117" t="str">
        <f aca="false">IF(T3="","",T3)</f>
        <v>Территория действия тарифа</v>
      </c>
      <c r="AO3" s="117"/>
      <c r="AP3" s="117"/>
    </row>
    <row r="4" customFormat="false" ht="23.25" hidden="true" customHeight="true" outlineLevel="0" collapsed="false">
      <c r="A4" s="415"/>
      <c r="B4" s="415"/>
      <c r="C4" s="415"/>
      <c r="D4" s="415"/>
      <c r="E4" s="416"/>
      <c r="F4" s="416"/>
      <c r="G4" s="416" t="n">
        <v>1</v>
      </c>
      <c r="H4" s="415"/>
      <c r="I4" s="415"/>
      <c r="J4" s="415"/>
      <c r="K4" s="415"/>
      <c r="L4" s="417"/>
      <c r="M4" s="40"/>
      <c r="N4" s="40"/>
      <c r="O4" s="40"/>
      <c r="P4" s="428"/>
      <c r="Q4" s="425"/>
      <c r="R4" s="426"/>
      <c r="S4" s="419" t="e">
        <f aca="false">INDEX(PT_DIFFERENTIATION_NUM_CS,MATCH(C4,PT_DIFFERENTIATION_CS_ID,0))</f>
        <v>#N/A</v>
      </c>
      <c r="T4" s="429" t="s">
        <v>530</v>
      </c>
      <c r="U4" s="421"/>
      <c r="V4" s="422"/>
      <c r="W4" s="422"/>
      <c r="X4" s="422"/>
      <c r="Y4" s="422"/>
      <c r="Z4" s="422"/>
      <c r="AA4" s="422"/>
      <c r="AB4" s="422"/>
      <c r="AC4" s="422" t="e">
        <f aca="false">INDEX(PT_DIFFERENTIATION_CS,MATCH(C4,PT_DIFFERENTIATION_CS_ID,0))</f>
        <v>#N/A</v>
      </c>
      <c r="AD4" s="422"/>
      <c r="AE4" s="422"/>
      <c r="AF4" s="422"/>
      <c r="AG4" s="422"/>
      <c r="AH4" s="422"/>
      <c r="AI4" s="422"/>
      <c r="AJ4" s="422"/>
      <c r="AK4" s="424" t="s">
        <v>531</v>
      </c>
      <c r="AM4" s="117"/>
      <c r="AN4" s="117" t="str">
        <f aca="false">IF(T4="","",T4)</f>
        <v>Наименование централизованной системы водоотведения</v>
      </c>
      <c r="AO4" s="117"/>
      <c r="AP4" s="117"/>
    </row>
    <row r="5" customFormat="false" ht="23.25" hidden="true" customHeight="true" outlineLevel="0" collapsed="false">
      <c r="A5" s="415"/>
      <c r="B5" s="415"/>
      <c r="C5" s="415"/>
      <c r="D5" s="415"/>
      <c r="E5" s="416"/>
      <c r="F5" s="416"/>
      <c r="G5" s="416"/>
      <c r="H5" s="560"/>
      <c r="I5" s="431" t="e">
        <f aca="false">S4&amp;".1"</f>
        <v>#N/A</v>
      </c>
      <c r="J5" s="415"/>
      <c r="K5" s="415"/>
      <c r="L5" s="417"/>
      <c r="P5" s="120" t="n">
        <v>1</v>
      </c>
      <c r="Q5" s="120"/>
      <c r="R5" s="432"/>
      <c r="S5" s="419" t="e">
        <f aca="false">$I5</f>
        <v>#N/A</v>
      </c>
      <c r="T5" s="433" t="s">
        <v>497</v>
      </c>
      <c r="U5" s="421"/>
      <c r="V5" s="561"/>
      <c r="W5" s="561"/>
      <c r="X5" s="561"/>
      <c r="Y5" s="561"/>
      <c r="Z5" s="561"/>
      <c r="AA5" s="561"/>
      <c r="AB5" s="561"/>
      <c r="AC5" s="245"/>
      <c r="AD5" s="245"/>
      <c r="AE5" s="245"/>
      <c r="AF5" s="245"/>
      <c r="AG5" s="245"/>
      <c r="AH5" s="245"/>
      <c r="AI5" s="245"/>
      <c r="AJ5" s="245"/>
      <c r="AK5" s="424" t="s">
        <v>498</v>
      </c>
      <c r="AM5" s="117"/>
      <c r="AN5" s="117" t="str">
        <f aca="false">IF(T5="","",T5)</f>
        <v>Наименование признака дифференциации</v>
      </c>
      <c r="AO5" s="117"/>
      <c r="AP5" s="117"/>
    </row>
    <row r="6" customFormat="false" ht="23.25" hidden="true" customHeight="true" outlineLevel="0" collapsed="false">
      <c r="A6" s="415"/>
      <c r="B6" s="415"/>
      <c r="C6" s="415"/>
      <c r="D6" s="415"/>
      <c r="E6" s="416"/>
      <c r="F6" s="416"/>
      <c r="G6" s="416"/>
      <c r="H6" s="416"/>
      <c r="I6" s="431"/>
      <c r="J6" s="431" t="e">
        <f aca="false">I5&amp;".1"</f>
        <v>#N/A</v>
      </c>
      <c r="K6" s="415"/>
      <c r="L6" s="417" t="s">
        <v>422</v>
      </c>
      <c r="P6" s="120"/>
      <c r="Q6" s="120" t="n">
        <v>1</v>
      </c>
      <c r="R6" s="435"/>
      <c r="S6" s="419" t="e">
        <f aca="false">$J6</f>
        <v>#N/A</v>
      </c>
      <c r="T6" s="436" t="s">
        <v>423</v>
      </c>
      <c r="U6" s="421"/>
      <c r="V6" s="434"/>
      <c r="W6" s="434"/>
      <c r="X6" s="434"/>
      <c r="Y6" s="434"/>
      <c r="Z6" s="434"/>
      <c r="AA6" s="434"/>
      <c r="AB6" s="434"/>
      <c r="AC6" s="434"/>
      <c r="AD6" s="434"/>
      <c r="AE6" s="434"/>
      <c r="AF6" s="434"/>
      <c r="AG6" s="434"/>
      <c r="AH6" s="434"/>
      <c r="AI6" s="434"/>
      <c r="AJ6" s="434"/>
      <c r="AK6" s="514" t="s">
        <v>499</v>
      </c>
      <c r="AM6" s="117"/>
      <c r="AN6" s="117" t="str">
        <f aca="false">IF(T6="","",T6)</f>
        <v>Группа потребителей</v>
      </c>
      <c r="AO6" s="117"/>
      <c r="AP6" s="117"/>
    </row>
    <row r="7" customFormat="false" ht="23.25" hidden="true" customHeight="true" outlineLevel="0" collapsed="false">
      <c r="A7" s="415"/>
      <c r="B7" s="415"/>
      <c r="C7" s="415"/>
      <c r="D7" s="415"/>
      <c r="E7" s="416"/>
      <c r="F7" s="416"/>
      <c r="G7" s="416"/>
      <c r="H7" s="416"/>
      <c r="I7" s="431"/>
      <c r="J7" s="431"/>
      <c r="K7" s="431" t="e">
        <f aca="false">J6&amp;".1"</f>
        <v>#N/A</v>
      </c>
      <c r="L7" s="417"/>
      <c r="P7" s="120"/>
      <c r="Q7" s="120"/>
      <c r="R7" s="435" t="n">
        <v>1</v>
      </c>
      <c r="S7" s="419" t="e">
        <f aca="false">$K7</f>
        <v>#N/A</v>
      </c>
      <c r="T7" s="562"/>
      <c r="U7" s="421"/>
      <c r="V7" s="438"/>
      <c r="W7" s="438"/>
      <c r="X7" s="440"/>
      <c r="Y7" s="441"/>
      <c r="Z7" s="203" t="s">
        <v>63</v>
      </c>
      <c r="AA7" s="441"/>
      <c r="AB7" s="203" t="s">
        <v>63</v>
      </c>
      <c r="AC7" s="438"/>
      <c r="AD7" s="438"/>
      <c r="AE7" s="440"/>
      <c r="AF7" s="441"/>
      <c r="AG7" s="203" t="s">
        <v>63</v>
      </c>
      <c r="AH7" s="441"/>
      <c r="AI7" s="203" t="s">
        <v>63</v>
      </c>
      <c r="AJ7" s="563"/>
      <c r="AK7" s="56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7"/>
      <c r="AN7" s="117" t="str">
        <f aca="false">IF(T7="","",T7)</f>
        <v/>
      </c>
      <c r="AO7" s="117"/>
      <c r="AP7" s="117"/>
    </row>
    <row r="8" customFormat="false" ht="14.25" hidden="true" customHeight="true" outlineLevel="0" collapsed="false">
      <c r="A8" s="415"/>
      <c r="B8" s="415"/>
      <c r="C8" s="415"/>
      <c r="D8" s="415"/>
      <c r="E8" s="416"/>
      <c r="F8" s="416"/>
      <c r="G8" s="416"/>
      <c r="H8" s="416"/>
      <c r="I8" s="431"/>
      <c r="J8" s="431"/>
      <c r="K8" s="431"/>
      <c r="L8" s="417"/>
      <c r="P8" s="120"/>
      <c r="Q8" s="120"/>
      <c r="R8" s="435"/>
      <c r="S8" s="396"/>
      <c r="T8" s="421"/>
      <c r="U8" s="421"/>
      <c r="V8" s="439"/>
      <c r="W8" s="439"/>
      <c r="X8" s="443" t="str">
        <f aca="false">Y7&amp;"-"&amp;AA7</f>
        <v>-</v>
      </c>
      <c r="Y8" s="441"/>
      <c r="Z8" s="203"/>
      <c r="AA8" s="441"/>
      <c r="AB8" s="203"/>
      <c r="AC8" s="439"/>
      <c r="AD8" s="439"/>
      <c r="AE8" s="443" t="str">
        <f aca="false">AF7&amp;"-"&amp;AH7</f>
        <v>-</v>
      </c>
      <c r="AF8" s="441"/>
      <c r="AG8" s="203"/>
      <c r="AH8" s="441"/>
      <c r="AI8" s="203"/>
      <c r="AJ8" s="565"/>
      <c r="AK8" s="564"/>
      <c r="AM8" s="117"/>
      <c r="AN8" s="117" t="str">
        <f aca="false">IF(T8="","",T8)</f>
        <v/>
      </c>
      <c r="AO8" s="117"/>
      <c r="AP8" s="117"/>
    </row>
    <row r="9" customFormat="false" ht="21" hidden="true" customHeight="true" outlineLevel="0" collapsed="false">
      <c r="A9" s="415"/>
      <c r="B9" s="415"/>
      <c r="C9" s="415"/>
      <c r="D9" s="415"/>
      <c r="E9" s="416"/>
      <c r="F9" s="416"/>
      <c r="G9" s="416"/>
      <c r="H9" s="416"/>
      <c r="I9" s="431"/>
      <c r="J9" s="431"/>
      <c r="K9" s="415"/>
      <c r="L9" s="417"/>
      <c r="P9" s="120"/>
      <c r="Q9" s="120"/>
      <c r="R9" s="432"/>
      <c r="S9" s="444"/>
      <c r="T9" s="447" t="s">
        <v>500</v>
      </c>
      <c r="U9" s="193"/>
      <c r="V9" s="193"/>
      <c r="W9" s="193"/>
      <c r="X9" s="193"/>
      <c r="Y9" s="193"/>
      <c r="Z9" s="193"/>
      <c r="AA9" s="193"/>
      <c r="AB9" s="193"/>
      <c r="AC9" s="193"/>
      <c r="AD9" s="193"/>
      <c r="AE9" s="193"/>
      <c r="AF9" s="193"/>
      <c r="AG9" s="193"/>
      <c r="AH9" s="193"/>
      <c r="AI9" s="193"/>
      <c r="AJ9" s="193"/>
      <c r="AK9" s="424" t="s">
        <v>501</v>
      </c>
      <c r="AM9" s="117"/>
      <c r="AN9" s="117" t="str">
        <f aca="false">IF(T9="","",T9)</f>
        <v>Добавить значение признака дифференциации</v>
      </c>
      <c r="AO9" s="117"/>
      <c r="AP9" s="117"/>
    </row>
    <row r="10" customFormat="false" ht="21" hidden="true" customHeight="true" outlineLevel="0" collapsed="false">
      <c r="A10" s="415"/>
      <c r="B10" s="415"/>
      <c r="C10" s="415"/>
      <c r="D10" s="415"/>
      <c r="E10" s="416"/>
      <c r="F10" s="416"/>
      <c r="G10" s="416"/>
      <c r="H10" s="416"/>
      <c r="I10" s="431"/>
      <c r="J10" s="415"/>
      <c r="K10" s="415"/>
      <c r="L10" s="417"/>
      <c r="P10" s="120"/>
      <c r="Q10" s="120"/>
      <c r="R10" s="432"/>
      <c r="S10" s="444"/>
      <c r="T10" s="451" t="s">
        <v>428</v>
      </c>
      <c r="U10" s="193"/>
      <c r="V10" s="193"/>
      <c r="W10" s="193"/>
      <c r="X10" s="193"/>
      <c r="Y10" s="193"/>
      <c r="Z10" s="193"/>
      <c r="AA10" s="193"/>
      <c r="AB10" s="448"/>
      <c r="AC10" s="193"/>
      <c r="AD10" s="193"/>
      <c r="AE10" s="193"/>
      <c r="AF10" s="193"/>
      <c r="AG10" s="193"/>
      <c r="AH10" s="193"/>
      <c r="AI10" s="448"/>
      <c r="AJ10" s="193"/>
      <c r="AK10" s="566"/>
      <c r="AM10" s="117"/>
      <c r="AN10" s="117" t="str">
        <f aca="false">IF(T10="","",T10)</f>
        <v>Добавить группу потребителей</v>
      </c>
      <c r="AO10" s="117"/>
      <c r="AP10" s="117"/>
    </row>
    <row r="11" customFormat="false" ht="21" hidden="true" customHeight="true" outlineLevel="0" collapsed="false">
      <c r="A11" s="415"/>
      <c r="B11" s="415"/>
      <c r="C11" s="415"/>
      <c r="D11" s="415"/>
      <c r="E11" s="416"/>
      <c r="F11" s="416"/>
      <c r="G11" s="416"/>
      <c r="H11" s="560"/>
      <c r="I11" s="415"/>
      <c r="J11" s="415"/>
      <c r="K11" s="415"/>
      <c r="L11" s="417"/>
      <c r="M11" s="40"/>
      <c r="N11" s="40"/>
      <c r="O11" s="45"/>
      <c r="P11" s="131"/>
      <c r="Q11" s="450"/>
      <c r="R11" s="418"/>
      <c r="S11" s="444"/>
      <c r="T11" s="567" t="s">
        <v>502</v>
      </c>
      <c r="U11" s="193"/>
      <c r="V11" s="193"/>
      <c r="W11" s="193"/>
      <c r="X11" s="193"/>
      <c r="Y11" s="193"/>
      <c r="Z11" s="193"/>
      <c r="AA11" s="193"/>
      <c r="AB11" s="448"/>
      <c r="AC11" s="193"/>
      <c r="AD11" s="193"/>
      <c r="AE11" s="193"/>
      <c r="AF11" s="193"/>
      <c r="AG11" s="193"/>
      <c r="AH11" s="193"/>
      <c r="AI11" s="448"/>
      <c r="AJ11" s="193"/>
      <c r="AK11" s="449"/>
      <c r="AM11" s="117"/>
      <c r="AN11" s="117" t="str">
        <f aca="false">IF(T11="","",T11)</f>
        <v>Добавить наименование признака дифференциации</v>
      </c>
      <c r="AO11" s="117"/>
      <c r="AP11" s="117"/>
    </row>
    <row r="12" s="47" customFormat="true" ht="14.25" hidden="true" customHeight="true" outlineLevel="0" collapsed="false">
      <c r="A12" s="121"/>
      <c r="B12" s="121"/>
      <c r="C12" s="121"/>
      <c r="D12" s="121"/>
      <c r="E12" s="416"/>
      <c r="F12" s="416"/>
      <c r="G12" s="121"/>
      <c r="H12" s="121"/>
      <c r="I12" s="121"/>
      <c r="J12" s="121"/>
      <c r="K12" s="121"/>
      <c r="L12" s="191"/>
      <c r="M12" s="456"/>
      <c r="N12" s="456"/>
      <c r="P12" s="155"/>
      <c r="Q12" s="452"/>
      <c r="R12" s="155"/>
      <c r="S12" s="457"/>
      <c r="T12" s="460" t="s">
        <v>261</v>
      </c>
      <c r="U12" s="459"/>
      <c r="V12" s="459"/>
      <c r="W12" s="459"/>
      <c r="X12" s="459"/>
      <c r="Y12" s="459"/>
      <c r="Z12" s="459"/>
      <c r="AA12" s="459"/>
      <c r="AB12" s="459"/>
      <c r="AC12" s="459"/>
      <c r="AD12" s="459"/>
      <c r="AE12" s="459"/>
      <c r="AF12" s="459"/>
      <c r="AG12" s="459"/>
      <c r="AH12" s="459"/>
      <c r="AI12" s="459"/>
      <c r="AJ12" s="459"/>
      <c r="AK12" s="459"/>
      <c r="AM12" s="117"/>
      <c r="AN12" s="117" t="str">
        <f aca="false">IF(T12="","",T12)</f>
        <v>Добавить централизованную систему для дифференциации</v>
      </c>
      <c r="AO12" s="117"/>
      <c r="AP12" s="117"/>
    </row>
    <row r="13" s="47" customFormat="true" ht="14.25" hidden="true" customHeight="true" outlineLevel="0" collapsed="false">
      <c r="A13" s="121"/>
      <c r="B13" s="121"/>
      <c r="C13" s="121"/>
      <c r="D13" s="121"/>
      <c r="E13" s="416"/>
      <c r="F13" s="121"/>
      <c r="G13" s="121"/>
      <c r="H13" s="121"/>
      <c r="I13" s="121"/>
      <c r="J13" s="121"/>
      <c r="K13" s="121"/>
      <c r="L13" s="191"/>
      <c r="M13" s="456"/>
      <c r="N13" s="456"/>
      <c r="P13" s="155"/>
      <c r="Q13" s="452"/>
      <c r="R13" s="155"/>
      <c r="S13" s="457"/>
      <c r="T13" s="460" t="s">
        <v>268</v>
      </c>
      <c r="U13" s="459"/>
      <c r="V13" s="459"/>
      <c r="W13" s="459"/>
      <c r="X13" s="459"/>
      <c r="Y13" s="459"/>
      <c r="Z13" s="459"/>
      <c r="AA13" s="459"/>
      <c r="AB13" s="459"/>
      <c r="AC13" s="459"/>
      <c r="AD13" s="459"/>
      <c r="AE13" s="459"/>
      <c r="AF13" s="459"/>
      <c r="AG13" s="459"/>
      <c r="AH13" s="459"/>
      <c r="AI13" s="459"/>
      <c r="AJ13" s="459"/>
      <c r="AK13" s="459"/>
      <c r="AM13" s="117"/>
      <c r="AN13" s="117" t="str">
        <f aca="false">IF(T13="","",T13)</f>
        <v>Добавить территорию для дифференциации</v>
      </c>
      <c r="AO13" s="117"/>
      <c r="AP13" s="117"/>
    </row>
    <row r="14" customFormat="false" ht="14.25" hidden="true" customHeight="true" outlineLevel="0" collapsed="false"/>
    <row r="15" customFormat="false" ht="14.25" hidden="true" customHeight="true" outlineLevel="0" collapsed="false">
      <c r="AC15" s="461"/>
      <c r="AD15" s="461"/>
      <c r="AE15" s="462"/>
      <c r="AF15" s="463"/>
      <c r="AG15" s="464" t="s">
        <v>63</v>
      </c>
      <c r="AH15" s="463"/>
      <c r="AI15" s="464" t="s">
        <v>63</v>
      </c>
    </row>
    <row r="16" customFormat="false" ht="14.25" hidden="true" customHeight="true" outlineLevel="0" collapsed="false">
      <c r="AC16" s="461"/>
      <c r="AD16" s="461"/>
      <c r="AE16" s="443" t="str">
        <f aca="false">AF15&amp;"-"&amp;AH15</f>
        <v>-</v>
      </c>
      <c r="AF16" s="463"/>
      <c r="AG16" s="463"/>
      <c r="AH16" s="463"/>
      <c r="AI16" s="463"/>
    </row>
    <row r="17" customFormat="false" ht="14.25" hidden="true" customHeight="true" outlineLevel="0" collapsed="false"/>
    <row r="18" s="45" customFormat="true" ht="22.5" hidden="true" customHeight="true" outlineLevel="0" collapsed="false">
      <c r="L18" s="44"/>
      <c r="M18" s="51"/>
      <c r="N18" s="51"/>
      <c r="O18" s="465" t="s">
        <v>431</v>
      </c>
      <c r="P18" s="51"/>
      <c r="Q18" s="466"/>
      <c r="R18" s="466"/>
      <c r="S18" s="40"/>
      <c r="Y18" s="465"/>
      <c r="AA18" s="465"/>
      <c r="AF18" s="465"/>
      <c r="AH18" s="465"/>
      <c r="AL18" s="47"/>
      <c r="AM18" s="47"/>
      <c r="AN18" s="47"/>
      <c r="AO18" s="47"/>
      <c r="AP18" s="47"/>
    </row>
    <row r="19" s="45" customFormat="true" ht="14.25" hidden="true" customHeight="true" outlineLevel="0" collapsed="false">
      <c r="L19" s="44"/>
      <c r="M19" s="51"/>
      <c r="N19" s="51"/>
      <c r="O19" s="51"/>
      <c r="P19" s="51"/>
      <c r="Q19" s="466"/>
      <c r="R19" s="466"/>
      <c r="S19" s="40"/>
      <c r="AL19" s="47"/>
      <c r="AM19" s="47"/>
      <c r="AN19" s="47"/>
      <c r="AO19" s="47"/>
      <c r="AP19" s="47"/>
    </row>
    <row r="20" s="45" customFormat="true" ht="12" hidden="true" customHeight="true" outlineLevel="0" collapsed="false">
      <c r="L20" s="44"/>
      <c r="M20" s="51"/>
      <c r="N20" s="51"/>
      <c r="O20" s="417" t="s">
        <v>432</v>
      </c>
      <c r="P20" s="51"/>
      <c r="Q20" s="568"/>
      <c r="R20" s="568"/>
      <c r="S20" s="40"/>
      <c r="T20" s="45" t="s">
        <v>433</v>
      </c>
      <c r="Z20" s="139" t="s">
        <v>434</v>
      </c>
      <c r="AB20" s="139" t="s">
        <v>435</v>
      </c>
      <c r="AC20" s="45" t="s">
        <v>433</v>
      </c>
      <c r="AG20" s="139" t="s">
        <v>436</v>
      </c>
      <c r="AI20" s="139" t="s">
        <v>435</v>
      </c>
    </row>
    <row r="21" customFormat="false" ht="14.25" hidden="true" customHeight="true" outlineLevel="0" collapsed="false">
      <c r="O21" s="417"/>
    </row>
    <row r="22" customFormat="false" ht="14.25" hidden="true" customHeight="true" outlineLevel="0" collapsed="false">
      <c r="O22" s="417"/>
    </row>
    <row r="23" customFormat="false" ht="14.25" hidden="false" customHeight="true" outlineLevel="0" collapsed="false">
      <c r="Q23" s="467"/>
      <c r="R23" s="467"/>
      <c r="S23" s="468"/>
      <c r="T23" s="79"/>
      <c r="U23" s="79"/>
    </row>
    <row r="24" customFormat="false" ht="14.25" hidden="false" customHeight="true" outlineLevel="0" collapsed="false">
      <c r="Q24" s="467"/>
      <c r="R24" s="467"/>
      <c r="S24" s="212" t="str">
        <f aca="false">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
      <c r="U24" s="212"/>
      <c r="V24" s="212"/>
      <c r="W24" s="212"/>
      <c r="X24" s="212"/>
      <c r="Y24" s="212"/>
      <c r="Z24" s="212"/>
      <c r="AA24" s="212"/>
      <c r="AB24" s="212"/>
      <c r="AC24" s="212"/>
      <c r="AD24" s="212"/>
      <c r="AE24" s="212"/>
      <c r="AF24" s="212"/>
      <c r="AG24" s="212"/>
      <c r="AH24" s="212"/>
      <c r="AI24" s="214"/>
    </row>
    <row r="25" customFormat="false" ht="14.25" hidden="false" customHeight="true" outlineLevel="0" collapsed="false">
      <c r="Q25" s="467"/>
      <c r="R25" s="467"/>
      <c r="S25" s="265" t="str">
        <f aca="false">IF(org=0,"Не определено",org)</f>
        <v>ООО "Газпром теплоэнерго Ярославль"</v>
      </c>
      <c r="T25" s="265"/>
      <c r="U25" s="265"/>
      <c r="V25" s="265"/>
      <c r="W25" s="265"/>
      <c r="X25" s="265"/>
      <c r="Y25" s="265"/>
      <c r="Z25" s="265"/>
      <c r="AA25" s="265"/>
      <c r="AB25" s="265"/>
      <c r="AC25" s="265"/>
      <c r="AD25" s="265"/>
      <c r="AE25" s="265"/>
      <c r="AF25" s="265"/>
      <c r="AG25" s="265"/>
      <c r="AH25" s="265"/>
      <c r="AI25" s="214"/>
    </row>
    <row r="26" customFormat="false" ht="14.25" hidden="false" customHeight="true" outlineLevel="0" collapsed="false">
      <c r="Q26" s="467"/>
      <c r="R26" s="467"/>
      <c r="S26" s="468"/>
      <c r="T26" s="79"/>
      <c r="U26" s="79"/>
      <c r="V26" s="469"/>
      <c r="W26" s="469"/>
      <c r="X26" s="469"/>
      <c r="Y26" s="469"/>
      <c r="Z26" s="469"/>
      <c r="AA26" s="469"/>
      <c r="AB26" s="469"/>
      <c r="AC26" s="469"/>
      <c r="AD26" s="469"/>
      <c r="AE26" s="469"/>
      <c r="AF26" s="469"/>
      <c r="AG26" s="469"/>
      <c r="AH26" s="469"/>
      <c r="AI26" s="469"/>
    </row>
    <row r="27" s="174" customFormat="true" ht="25.5" hidden="false" customHeight="true" outlineLevel="0" collapsed="false">
      <c r="A27" s="139"/>
      <c r="B27" s="139"/>
      <c r="C27" s="139"/>
      <c r="D27" s="139"/>
      <c r="E27" s="139"/>
      <c r="F27" s="139"/>
      <c r="G27" s="139"/>
      <c r="H27" s="139"/>
      <c r="I27" s="139"/>
      <c r="J27" s="139"/>
      <c r="K27" s="139"/>
      <c r="L27" s="417"/>
      <c r="M27" s="139"/>
      <c r="N27" s="139"/>
      <c r="O27" s="139"/>
      <c r="S27" s="470" t="s">
        <v>37</v>
      </c>
      <c r="T27" s="470"/>
      <c r="U27" s="471"/>
      <c r="V27" s="472" t="str">
        <f aca="false">IF(TITLE_NAME_OR_PR_CHANGE="",IF(TITLE_NAME_OR_PR="","",TITLE_NAME_OR_PR),TITLE_NAME_OR_PR_CHANGE)</f>
        <v>Министерство тарифного регулирования Ярославской области</v>
      </c>
      <c r="W27" s="472"/>
      <c r="X27" s="472"/>
      <c r="Y27" s="472"/>
      <c r="Z27" s="472"/>
      <c r="AA27" s="472"/>
      <c r="AB27" s="42"/>
      <c r="AC27" s="472" t="str">
        <f aca="false">IF(TITLE_NAME_OR_PR_CHANGE="",IF(TITLE_NAME_OR_PR="","",TITLE_NAME_OR_PR),TITLE_NAME_OR_PR_CHANGE)</f>
        <v>Министерство тарифного регулирования Ярославской области</v>
      </c>
      <c r="AD27" s="472"/>
      <c r="AE27" s="472"/>
      <c r="AF27" s="472"/>
      <c r="AG27" s="472"/>
      <c r="AH27" s="472"/>
      <c r="AI27" s="42"/>
      <c r="AJ27" s="42"/>
      <c r="AK27" s="473"/>
      <c r="AL27" s="117"/>
      <c r="AM27" s="117"/>
      <c r="AN27" s="117"/>
      <c r="AO27" s="117"/>
      <c r="AP27" s="117"/>
    </row>
    <row r="28" s="174" customFormat="true" ht="18.75" hidden="false" customHeight="true" outlineLevel="0" collapsed="false">
      <c r="A28" s="139"/>
      <c r="B28" s="139"/>
      <c r="C28" s="139"/>
      <c r="D28" s="139"/>
      <c r="E28" s="139"/>
      <c r="F28" s="139"/>
      <c r="G28" s="139"/>
      <c r="H28" s="139"/>
      <c r="I28" s="139"/>
      <c r="J28" s="139"/>
      <c r="K28" s="139"/>
      <c r="L28" s="417"/>
      <c r="M28" s="139"/>
      <c r="N28" s="139"/>
      <c r="O28" s="139"/>
      <c r="S28" s="470" t="s">
        <v>437</v>
      </c>
      <c r="T28" s="470"/>
      <c r="U28" s="471"/>
      <c r="V28" s="474" t="str">
        <f aca="false">IF(TITLE_DATE_PR_CHANGE="",IF(TITLE_DATE_PR="","",TITLE_DATE_PR),TITLE_DATE_PR_CHANGE)</f>
        <v>45279.46460648148</v>
      </c>
      <c r="W28" s="474"/>
      <c r="X28" s="474"/>
      <c r="Y28" s="474"/>
      <c r="Z28" s="474"/>
      <c r="AA28" s="474"/>
      <c r="AB28" s="42"/>
      <c r="AC28" s="474" t="str">
        <f aca="false">IF(TITLE_DATE_PR_CHANGE="",IF(TITLE_DATE_PR="","",TITLE_DATE_PR),TITLE_DATE_PR_CHANGE)</f>
        <v>45279.46460648148</v>
      </c>
      <c r="AD28" s="474"/>
      <c r="AE28" s="474"/>
      <c r="AF28" s="474"/>
      <c r="AG28" s="474"/>
      <c r="AH28" s="474"/>
      <c r="AI28" s="42"/>
      <c r="AJ28" s="42"/>
      <c r="AK28" s="473"/>
      <c r="AL28" s="117"/>
      <c r="AM28" s="117"/>
      <c r="AN28" s="117"/>
      <c r="AO28" s="117"/>
      <c r="AP28" s="117"/>
    </row>
    <row r="29" s="174" customFormat="true" ht="18.75" hidden="false" customHeight="true" outlineLevel="0" collapsed="false">
      <c r="A29" s="139"/>
      <c r="B29" s="139"/>
      <c r="C29" s="139"/>
      <c r="D29" s="139"/>
      <c r="E29" s="139"/>
      <c r="F29" s="139"/>
      <c r="G29" s="139"/>
      <c r="H29" s="139"/>
      <c r="I29" s="139"/>
      <c r="J29" s="139"/>
      <c r="K29" s="139"/>
      <c r="L29" s="417"/>
      <c r="M29" s="139"/>
      <c r="N29" s="139"/>
      <c r="O29" s="139"/>
      <c r="S29" s="470" t="s">
        <v>438</v>
      </c>
      <c r="T29" s="470"/>
      <c r="U29" s="471"/>
      <c r="V29" s="472" t="str">
        <f aca="false">IF(TITLE_NUMBER_PR_CHANGE="",IF(TITLE_NUMBER_PR="","",TITLE_NUMBER_PR),TITLE_NUMBER_PR_CHANGE)</f>
        <v>403-гвс, 404-гвс, 406-гвс</v>
      </c>
      <c r="W29" s="472"/>
      <c r="X29" s="472"/>
      <c r="Y29" s="472"/>
      <c r="Z29" s="472"/>
      <c r="AA29" s="472"/>
      <c r="AB29" s="42"/>
      <c r="AC29" s="472" t="str">
        <f aca="false">IF(TITLE_NUMBER_PR_CHANGE="",IF(TITLE_NUMBER_PR="","",TITLE_NUMBER_PR),TITLE_NUMBER_PR_CHANGE)</f>
        <v>403-гвс, 404-гвс, 406-гвс</v>
      </c>
      <c r="AD29" s="472"/>
      <c r="AE29" s="472"/>
      <c r="AF29" s="472"/>
      <c r="AG29" s="472"/>
      <c r="AH29" s="472"/>
      <c r="AI29" s="42"/>
      <c r="AJ29" s="42"/>
      <c r="AK29" s="473"/>
      <c r="AL29" s="117"/>
      <c r="AM29" s="117"/>
      <c r="AN29" s="117"/>
      <c r="AO29" s="117"/>
      <c r="AP29" s="117"/>
    </row>
    <row r="30" s="174" customFormat="true" ht="18.75" hidden="false" customHeight="true" outlineLevel="0" collapsed="false">
      <c r="A30" s="139"/>
      <c r="B30" s="139"/>
      <c r="C30" s="139"/>
      <c r="D30" s="139"/>
      <c r="E30" s="139"/>
      <c r="F30" s="139"/>
      <c r="G30" s="139"/>
      <c r="H30" s="139"/>
      <c r="I30" s="139"/>
      <c r="J30" s="139"/>
      <c r="K30" s="139"/>
      <c r="L30" s="417"/>
      <c r="M30" s="139"/>
      <c r="N30" s="139"/>
      <c r="O30" s="139"/>
      <c r="S30" s="470" t="s">
        <v>39</v>
      </c>
      <c r="T30" s="470"/>
      <c r="U30" s="471"/>
      <c r="V30" s="472" t="str">
        <f aca="false">IF(TITLE_IST_PUB_CHANGE="",IF(TITLE_IST_PUB="","",TITLE_IST_PUB),TITLE_IST_PUB_CHANGE)</f>
        <v>официальный интернет- портал правовой информации www.pravo.gov.ru</v>
      </c>
      <c r="W30" s="472"/>
      <c r="X30" s="472"/>
      <c r="Y30" s="472"/>
      <c r="Z30" s="472"/>
      <c r="AA30" s="472"/>
      <c r="AB30" s="42"/>
      <c r="AC30" s="472" t="str">
        <f aca="false">IF(TITLE_IST_PUB_CHANGE="",IF(TITLE_IST_PUB="","",TITLE_IST_PUB),TITLE_IST_PUB_CHANGE)</f>
        <v>официальный интернет- портал правовой информации www.pravo.gov.ru</v>
      </c>
      <c r="AD30" s="472"/>
      <c r="AE30" s="472"/>
      <c r="AF30" s="472"/>
      <c r="AG30" s="472"/>
      <c r="AH30" s="472"/>
      <c r="AI30" s="42"/>
      <c r="AJ30" s="42"/>
      <c r="AK30" s="473"/>
      <c r="AL30" s="117"/>
      <c r="AM30" s="117"/>
      <c r="AN30" s="117"/>
      <c r="AO30" s="117"/>
      <c r="AP30" s="117"/>
    </row>
    <row r="31" customFormat="false" ht="14.25" hidden="true" customHeight="true" outlineLevel="0" collapsed="false">
      <c r="Q31" s="467"/>
      <c r="R31" s="467"/>
      <c r="S31" s="468"/>
      <c r="T31" s="79"/>
      <c r="U31" s="79"/>
      <c r="V31" s="469"/>
      <c r="W31" s="469"/>
      <c r="X31" s="469"/>
      <c r="Y31" s="469"/>
      <c r="Z31" s="469"/>
      <c r="AA31" s="469"/>
      <c r="AB31" s="469"/>
      <c r="AC31" s="469"/>
      <c r="AD31" s="469"/>
      <c r="AE31" s="469"/>
      <c r="AF31" s="469"/>
      <c r="AG31" s="469"/>
      <c r="AH31" s="469"/>
      <c r="AI31" s="469"/>
    </row>
    <row r="32" s="174" customFormat="true" ht="18.75" hidden="true" customHeight="true" outlineLevel="0" collapsed="false">
      <c r="A32" s="139"/>
      <c r="B32" s="139"/>
      <c r="C32" s="139"/>
      <c r="D32" s="139"/>
      <c r="E32" s="139"/>
      <c r="F32" s="139"/>
      <c r="G32" s="139"/>
      <c r="H32" s="139"/>
      <c r="I32" s="139"/>
      <c r="J32" s="139"/>
      <c r="K32" s="139"/>
      <c r="L32" s="417"/>
      <c r="M32" s="139"/>
      <c r="N32" s="139"/>
      <c r="O32" s="139"/>
      <c r="S32" s="470" t="s">
        <v>439</v>
      </c>
      <c r="T32" s="470"/>
      <c r="U32" s="471"/>
      <c r="V32" s="474" t="str">
        <f aca="false">IF(TITLE_DATE_PR_CHANGE="",IF(TITLE_DATE_PR="","",TITLE_DATE_PR),TITLE_DATE_PR_CHANGE)</f>
        <v>45279.46460648148</v>
      </c>
      <c r="W32" s="474"/>
      <c r="X32" s="474"/>
      <c r="Y32" s="474"/>
      <c r="Z32" s="474"/>
      <c r="AA32" s="474"/>
      <c r="AB32" s="42"/>
      <c r="AC32" s="474" t="str">
        <f aca="false">IF(TITLE_DATE_PR_CHANGE="",IF(TITLE_DATE_PR="","",TITLE_DATE_PR),TITLE_DATE_PR_CHANGE)</f>
        <v>45279.46460648148</v>
      </c>
      <c r="AD32" s="474"/>
      <c r="AE32" s="474"/>
      <c r="AF32" s="474"/>
      <c r="AG32" s="474"/>
      <c r="AH32" s="474"/>
      <c r="AI32" s="42"/>
      <c r="AJ32" s="42"/>
      <c r="AK32" s="473"/>
      <c r="AL32" s="117"/>
      <c r="AM32" s="117"/>
      <c r="AN32" s="117"/>
      <c r="AO32" s="117"/>
      <c r="AP32" s="117"/>
    </row>
    <row r="33" s="174" customFormat="true" ht="18.75" hidden="true" customHeight="true" outlineLevel="0" collapsed="false">
      <c r="A33" s="139"/>
      <c r="B33" s="139"/>
      <c r="C33" s="139"/>
      <c r="D33" s="139"/>
      <c r="E33" s="139"/>
      <c r="F33" s="139"/>
      <c r="G33" s="139"/>
      <c r="H33" s="139"/>
      <c r="I33" s="139"/>
      <c r="J33" s="139"/>
      <c r="K33" s="139"/>
      <c r="L33" s="417"/>
      <c r="M33" s="139"/>
      <c r="N33" s="139"/>
      <c r="O33" s="139"/>
      <c r="S33" s="470" t="s">
        <v>440</v>
      </c>
      <c r="T33" s="470"/>
      <c r="U33" s="471"/>
      <c r="V33" s="472" t="str">
        <f aca="false">IF(TITLE_NUMBER_PR_CHANGE="",IF(TITLE_NUMBER_PR="","",TITLE_NUMBER_PR),TITLE_NUMBER_PR_CHANGE)</f>
        <v>403-гвс, 404-гвс, 406-гвс</v>
      </c>
      <c r="W33" s="472"/>
      <c r="X33" s="472"/>
      <c r="Y33" s="472"/>
      <c r="Z33" s="472"/>
      <c r="AA33" s="472"/>
      <c r="AB33" s="42"/>
      <c r="AC33" s="472" t="str">
        <f aca="false">IF(TITLE_NUMBER_PR_CHANGE="",IF(TITLE_NUMBER_PR="","",TITLE_NUMBER_PR),TITLE_NUMBER_PR_CHANGE)</f>
        <v>403-гвс, 404-гвс, 406-гвс</v>
      </c>
      <c r="AD33" s="472"/>
      <c r="AE33" s="472"/>
      <c r="AF33" s="472"/>
      <c r="AG33" s="472"/>
      <c r="AH33" s="472"/>
      <c r="AI33" s="42"/>
      <c r="AJ33" s="42"/>
      <c r="AK33" s="473"/>
      <c r="AL33" s="117"/>
      <c r="AM33" s="117"/>
      <c r="AN33" s="117"/>
      <c r="AO33" s="117"/>
      <c r="AP33" s="117"/>
    </row>
    <row r="34" s="174" customFormat="true" ht="0.75" hidden="false" customHeight="true" outlineLevel="0" collapsed="false">
      <c r="A34" s="139"/>
      <c r="B34" s="139"/>
      <c r="C34" s="139"/>
      <c r="D34" s="139"/>
      <c r="E34" s="139"/>
      <c r="F34" s="139"/>
      <c r="G34" s="139"/>
      <c r="H34" s="139"/>
      <c r="I34" s="139"/>
      <c r="J34" s="139"/>
      <c r="K34" s="139"/>
      <c r="L34" s="417"/>
      <c r="M34" s="139"/>
      <c r="N34" s="139"/>
      <c r="O34" s="139"/>
      <c r="S34" s="42"/>
      <c r="T34" s="42"/>
      <c r="U34" s="127"/>
      <c r="V34" s="42"/>
      <c r="W34" s="42"/>
      <c r="X34" s="42"/>
      <c r="Y34" s="42"/>
      <c r="Z34" s="42"/>
      <c r="AA34" s="42"/>
      <c r="AB34" s="47" t="s">
        <v>441</v>
      </c>
      <c r="AC34" s="42"/>
      <c r="AD34" s="42"/>
      <c r="AE34" s="42"/>
      <c r="AF34" s="42"/>
      <c r="AG34" s="42"/>
      <c r="AH34" s="42"/>
      <c r="AI34" s="47" t="s">
        <v>441</v>
      </c>
      <c r="AL34" s="117"/>
      <c r="AM34" s="117"/>
      <c r="AN34" s="117"/>
      <c r="AO34" s="117"/>
      <c r="AP34" s="117"/>
    </row>
    <row r="35" customFormat="false" ht="14.25" hidden="false" customHeight="true" outlineLevel="0" collapsed="false">
      <c r="Q35" s="467"/>
      <c r="R35" s="467"/>
      <c r="S35" s="468"/>
      <c r="T35" s="79"/>
      <c r="U35" s="475"/>
      <c r="V35" s="476"/>
      <c r="W35" s="476"/>
      <c r="X35" s="476"/>
      <c r="Y35" s="476"/>
      <c r="Z35" s="476"/>
      <c r="AA35" s="476"/>
      <c r="AB35" s="476"/>
      <c r="AC35" s="476"/>
      <c r="AD35" s="476"/>
      <c r="AE35" s="476"/>
      <c r="AF35" s="476"/>
      <c r="AG35" s="476"/>
      <c r="AH35" s="476"/>
      <c r="AI35" s="476"/>
    </row>
    <row r="36" customFormat="false" ht="14.25" hidden="false" customHeight="true" outlineLevel="0" collapsed="false">
      <c r="Q36" s="467"/>
      <c r="R36" s="467"/>
      <c r="S36" s="133" t="s">
        <v>316</v>
      </c>
      <c r="T36" s="133"/>
      <c r="U36" s="133"/>
      <c r="V36" s="133"/>
      <c r="W36" s="133"/>
      <c r="X36" s="133"/>
      <c r="Y36" s="133"/>
      <c r="Z36" s="133"/>
      <c r="AA36" s="133"/>
      <c r="AB36" s="133"/>
      <c r="AC36" s="133"/>
      <c r="AD36" s="133"/>
      <c r="AE36" s="133"/>
      <c r="AF36" s="133"/>
      <c r="AG36" s="133"/>
      <c r="AH36" s="133"/>
      <c r="AI36" s="133"/>
      <c r="AJ36" s="133"/>
      <c r="AK36" s="133" t="s">
        <v>317</v>
      </c>
    </row>
    <row r="37" customFormat="false" ht="14.25" hidden="false" customHeight="true" outlineLevel="0" collapsed="false">
      <c r="Q37" s="467"/>
      <c r="R37" s="467"/>
      <c r="S37" s="477" t="s">
        <v>84</v>
      </c>
      <c r="T37" s="394" t="s">
        <v>442</v>
      </c>
      <c r="U37" s="478"/>
      <c r="V37" s="300" t="s">
        <v>443</v>
      </c>
      <c r="W37" s="300"/>
      <c r="X37" s="300"/>
      <c r="Y37" s="300"/>
      <c r="Z37" s="300"/>
      <c r="AA37" s="300"/>
      <c r="AB37" s="394" t="s">
        <v>444</v>
      </c>
      <c r="AC37" s="300" t="s">
        <v>443</v>
      </c>
      <c r="AD37" s="300"/>
      <c r="AE37" s="300"/>
      <c r="AF37" s="300"/>
      <c r="AG37" s="300"/>
      <c r="AH37" s="300"/>
      <c r="AI37" s="394" t="s">
        <v>445</v>
      </c>
      <c r="AJ37" s="479" t="s">
        <v>446</v>
      </c>
      <c r="AK37" s="133"/>
    </row>
    <row r="38" customFormat="false" ht="33.75" hidden="false" customHeight="true" outlineLevel="0" collapsed="false">
      <c r="Q38" s="467"/>
      <c r="R38" s="467"/>
      <c r="S38" s="477"/>
      <c r="T38" s="394"/>
      <c r="U38" s="480"/>
      <c r="V38" s="266" t="s">
        <v>503</v>
      </c>
      <c r="W38" s="133" t="s">
        <v>449</v>
      </c>
      <c r="X38" s="133"/>
      <c r="Y38" s="133" t="s">
        <v>450</v>
      </c>
      <c r="Z38" s="133"/>
      <c r="AA38" s="133"/>
      <c r="AB38" s="394"/>
      <c r="AC38" s="266" t="s">
        <v>503</v>
      </c>
      <c r="AD38" s="133" t="s">
        <v>449</v>
      </c>
      <c r="AE38" s="133"/>
      <c r="AF38" s="133" t="s">
        <v>450</v>
      </c>
      <c r="AG38" s="133"/>
      <c r="AH38" s="133"/>
      <c r="AI38" s="394"/>
      <c r="AJ38" s="479"/>
      <c r="AK38" s="133"/>
    </row>
    <row r="39" customFormat="false" ht="86.25" hidden="false" customHeight="true" outlineLevel="0" collapsed="false">
      <c r="A39" s="139"/>
      <c r="B39" s="139" t="s">
        <v>142</v>
      </c>
      <c r="C39" s="139" t="s">
        <v>143</v>
      </c>
      <c r="D39" s="139" t="s">
        <v>144</v>
      </c>
      <c r="E39" s="417" t="s">
        <v>451</v>
      </c>
      <c r="F39" s="417" t="s">
        <v>452</v>
      </c>
      <c r="G39" s="417" t="s">
        <v>453</v>
      </c>
      <c r="H39" s="417"/>
      <c r="I39" s="417" t="s">
        <v>504</v>
      </c>
      <c r="J39" s="417" t="s">
        <v>456</v>
      </c>
      <c r="K39" s="417" t="s">
        <v>505</v>
      </c>
      <c r="L39" s="417" t="s">
        <v>432</v>
      </c>
      <c r="Q39" s="467"/>
      <c r="R39" s="467"/>
      <c r="S39" s="477"/>
      <c r="T39" s="394"/>
      <c r="U39" s="481"/>
      <c r="V39" s="266" t="s">
        <v>532</v>
      </c>
      <c r="W39" s="184" t="s">
        <v>533</v>
      </c>
      <c r="X39" s="184" t="s">
        <v>508</v>
      </c>
      <c r="Y39" s="184" t="s">
        <v>460</v>
      </c>
      <c r="Z39" s="184" t="s">
        <v>461</v>
      </c>
      <c r="AA39" s="184"/>
      <c r="AB39" s="394"/>
      <c r="AC39" s="266" t="s">
        <v>532</v>
      </c>
      <c r="AD39" s="184" t="s">
        <v>533</v>
      </c>
      <c r="AE39" s="184" t="s">
        <v>508</v>
      </c>
      <c r="AF39" s="184" t="s">
        <v>460</v>
      </c>
      <c r="AG39" s="184" t="s">
        <v>461</v>
      </c>
      <c r="AH39" s="184"/>
      <c r="AI39" s="394"/>
      <c r="AJ39" s="479"/>
      <c r="AK39" s="133"/>
    </row>
    <row r="40" s="119" customFormat="true" ht="12.8" hidden="false" customHeight="false" outlineLevel="0" collapsed="false">
      <c r="A40" s="139"/>
      <c r="B40" s="139"/>
      <c r="C40" s="139"/>
      <c r="D40" s="139"/>
      <c r="E40" s="139"/>
      <c r="F40" s="139"/>
      <c r="G40" s="139"/>
      <c r="H40" s="139"/>
      <c r="I40" s="139"/>
      <c r="J40" s="139"/>
      <c r="K40" s="139"/>
      <c r="L40" s="417"/>
      <c r="M40" s="51"/>
      <c r="N40" s="51"/>
      <c r="O40" s="51"/>
      <c r="P40" s="482"/>
      <c r="Q40" s="483"/>
      <c r="R40" s="484" t="n">
        <v>1</v>
      </c>
      <c r="S40" s="485" t="s">
        <v>117</v>
      </c>
      <c r="T40" s="486" t="s">
        <v>99</v>
      </c>
      <c r="U40" s="487" t="str">
        <f aca="true">OFFSET(U40,0,-1)</f>
        <v>2</v>
      </c>
      <c r="V40" s="488" t="n">
        <f aca="true">OFFSET(V40,0,-1)+1</f>
        <v>3</v>
      </c>
      <c r="W40" s="488" t="n">
        <f aca="true">OFFSET(W40,0,-1)+1</f>
        <v>4</v>
      </c>
      <c r="X40" s="488" t="n">
        <f aca="true">OFFSET(X40,0,-1)+1</f>
        <v>5</v>
      </c>
      <c r="Y40" s="488" t="n">
        <f aca="true">OFFSET(Y40,0,-1)+1</f>
        <v>6</v>
      </c>
      <c r="Z40" s="488" t="n">
        <f aca="true">OFFSET(Z40,0,-1)+1</f>
        <v>7</v>
      </c>
      <c r="AA40" s="488"/>
      <c r="AB40" s="488" t="n">
        <f aca="true">OFFSET(AB40,0,-2)+1</f>
        <v>8</v>
      </c>
      <c r="AC40" s="488" t="n">
        <f aca="true">OFFSET(AC40,0,-1)+1</f>
        <v>9</v>
      </c>
      <c r="AD40" s="488" t="n">
        <f aca="true">OFFSET(AD40,0,-1)+1</f>
        <v>10</v>
      </c>
      <c r="AE40" s="488" t="n">
        <f aca="true">OFFSET(AE40,0,-1)+1</f>
        <v>11</v>
      </c>
      <c r="AF40" s="488" t="n">
        <f aca="true">OFFSET(AF40,0,-1)+1</f>
        <v>12</v>
      </c>
      <c r="AG40" s="488" t="n">
        <f aca="true">OFFSET(AG40,0,-1)+1</f>
        <v>13</v>
      </c>
      <c r="AH40" s="488"/>
      <c r="AI40" s="488" t="n">
        <f aca="true">OFFSET(AI40,0,-2)+1</f>
        <v>14</v>
      </c>
      <c r="AJ40" s="487" t="n">
        <f aca="true">OFFSET(AJ40,0,-1)</f>
        <v>14</v>
      </c>
      <c r="AK40" s="488" t="n">
        <f aca="true">OFFSET(AK40,0,-1)+1</f>
        <v>15</v>
      </c>
      <c r="AL40" s="47"/>
      <c r="AM40" s="47"/>
      <c r="AN40" s="47"/>
      <c r="AO40" s="47"/>
      <c r="AP40" s="47"/>
    </row>
    <row r="41" customFormat="false" ht="23.25" hidden="false" customHeight="true" outlineLevel="0" collapsed="false">
      <c r="A41" s="415" t="s">
        <v>287</v>
      </c>
      <c r="B41" s="415"/>
      <c r="C41" s="415"/>
      <c r="D41" s="415"/>
      <c r="E41" s="416" t="n">
        <v>1</v>
      </c>
      <c r="F41" s="415"/>
      <c r="G41" s="415"/>
      <c r="H41" s="415"/>
      <c r="I41" s="415"/>
      <c r="J41" s="415"/>
      <c r="K41" s="415"/>
      <c r="L41" s="417"/>
      <c r="M41" s="40"/>
      <c r="N41" s="40"/>
      <c r="O41" s="40"/>
      <c r="Q41" s="131"/>
      <c r="R41" s="418"/>
      <c r="S41" s="419" t="n">
        <f aca="false">INDEX(PT_DIFFERENTIATION_NUM_NTAR,MATCH(A41,PT_DIFFERENTIATION_NTAR_ID,0))</f>
        <v>0</v>
      </c>
      <c r="T41" s="420" t="s">
        <v>130</v>
      </c>
      <c r="U41" s="421"/>
      <c r="V41" s="422"/>
      <c r="W41" s="422"/>
      <c r="X41" s="422"/>
      <c r="Y41" s="422"/>
      <c r="Z41" s="422"/>
      <c r="AA41" s="422"/>
      <c r="AB41" s="422"/>
      <c r="AC41" s="422" t="str">
        <f aca="false">INDEX(PT_DIFFERENTIATION_NTAR,MATCH(A41,PT_DIFFERENTIATION_NTAR_ID,0))</f>
        <v/>
      </c>
      <c r="AD41" s="422"/>
      <c r="AE41" s="422"/>
      <c r="AF41" s="422"/>
      <c r="AG41" s="422"/>
      <c r="AH41" s="422"/>
      <c r="AI41" s="422"/>
      <c r="AJ41" s="422"/>
      <c r="AK41" s="42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7"/>
      <c r="AN41" s="117" t="str">
        <f aca="false">IF(T41="","",T41)</f>
        <v>Наименование тарифа</v>
      </c>
      <c r="AO41" s="117"/>
      <c r="AP41" s="117"/>
    </row>
    <row r="42" customFormat="false" ht="23.25" hidden="false" customHeight="true" outlineLevel="0" collapsed="false">
      <c r="A42" s="415" t="s">
        <v>287</v>
      </c>
      <c r="B42" s="415" t="s">
        <v>288</v>
      </c>
      <c r="C42" s="415"/>
      <c r="D42" s="415"/>
      <c r="E42" s="416"/>
      <c r="F42" s="416" t="n">
        <v>1</v>
      </c>
      <c r="G42" s="415"/>
      <c r="H42" s="415"/>
      <c r="I42" s="415"/>
      <c r="J42" s="415"/>
      <c r="K42" s="415"/>
      <c r="L42" s="417"/>
      <c r="M42" s="40"/>
      <c r="N42" s="40"/>
      <c r="O42" s="40"/>
      <c r="P42" s="43"/>
      <c r="Q42" s="425"/>
      <c r="R42" s="426"/>
      <c r="S42" s="419" t="str">
        <f aca="false">INDEX(PT_DIFFERENTIATION_NUM_TER,MATCH(B42,PT_DIFFERENTIATION_TER_ID,0))</f>
        <v>.</v>
      </c>
      <c r="T42" s="427" t="s">
        <v>413</v>
      </c>
      <c r="U42" s="421"/>
      <c r="V42" s="422"/>
      <c r="W42" s="422"/>
      <c r="X42" s="422"/>
      <c r="Y42" s="422"/>
      <c r="Z42" s="422"/>
      <c r="AA42" s="422"/>
      <c r="AB42" s="422"/>
      <c r="AC42" s="422" t="str">
        <f aca="false">INDEX(PT_DIFFERENTIATION_TER,MATCH(B42,PT_DIFFERENTIATION_TER_ID,0))</f>
        <v/>
      </c>
      <c r="AD42" s="422"/>
      <c r="AE42" s="422"/>
      <c r="AF42" s="422"/>
      <c r="AG42" s="422"/>
      <c r="AH42" s="422"/>
      <c r="AI42" s="422"/>
      <c r="AJ42" s="422"/>
      <c r="AK42" s="424" t="s">
        <v>414</v>
      </c>
      <c r="AM42" s="117"/>
      <c r="AN42" s="117" t="str">
        <f aca="false">IF(T42="","",T42)</f>
        <v>Территория действия тарифа</v>
      </c>
      <c r="AO42" s="117"/>
      <c r="AP42" s="117"/>
    </row>
    <row r="43" customFormat="false" ht="23.25" hidden="false" customHeight="true" outlineLevel="0" collapsed="false">
      <c r="A43" s="415" t="s">
        <v>287</v>
      </c>
      <c r="B43" s="415" t="s">
        <v>288</v>
      </c>
      <c r="C43" s="415" t="s">
        <v>289</v>
      </c>
      <c r="D43" s="415"/>
      <c r="E43" s="416"/>
      <c r="F43" s="416"/>
      <c r="G43" s="416" t="n">
        <v>1</v>
      </c>
      <c r="H43" s="415"/>
      <c r="I43" s="415"/>
      <c r="J43" s="415"/>
      <c r="K43" s="415"/>
      <c r="L43" s="417"/>
      <c r="M43" s="40"/>
      <c r="N43" s="40"/>
      <c r="O43" s="40"/>
      <c r="P43" s="428"/>
      <c r="Q43" s="425"/>
      <c r="R43" s="426"/>
      <c r="S43" s="419" t="str">
        <f aca="false">INDEX(PT_DIFFERENTIATION_NUM_CS,MATCH(C43,PT_DIFFERENTIATION_CS_ID,0))</f>
        <v>..</v>
      </c>
      <c r="T43" s="429" t="s">
        <v>530</v>
      </c>
      <c r="U43" s="421"/>
      <c r="V43" s="422"/>
      <c r="W43" s="422"/>
      <c r="X43" s="422"/>
      <c r="Y43" s="422"/>
      <c r="Z43" s="422"/>
      <c r="AA43" s="422"/>
      <c r="AB43" s="422"/>
      <c r="AC43" s="422" t="str">
        <f aca="false">INDEX(PT_DIFFERENTIATION_CS,MATCH(C43,PT_DIFFERENTIATION_CS_ID,0))</f>
        <v/>
      </c>
      <c r="AD43" s="422"/>
      <c r="AE43" s="422"/>
      <c r="AF43" s="422"/>
      <c r="AG43" s="422"/>
      <c r="AH43" s="422"/>
      <c r="AI43" s="422"/>
      <c r="AJ43" s="422"/>
      <c r="AK43" s="424" t="s">
        <v>531</v>
      </c>
      <c r="AM43" s="117"/>
      <c r="AN43" s="117" t="str">
        <f aca="false">IF(T43="","",T43)</f>
        <v>Наименование централизованной системы водоотведения</v>
      </c>
      <c r="AO43" s="117"/>
      <c r="AP43" s="117"/>
    </row>
    <row r="44" customFormat="false" ht="23.25" hidden="false" customHeight="true" outlineLevel="0" collapsed="false">
      <c r="A44" s="415" t="s">
        <v>287</v>
      </c>
      <c r="B44" s="415" t="s">
        <v>288</v>
      </c>
      <c r="C44" s="415" t="s">
        <v>289</v>
      </c>
      <c r="D44" s="415" t="s">
        <v>535</v>
      </c>
      <c r="E44" s="416"/>
      <c r="F44" s="416"/>
      <c r="G44" s="416"/>
      <c r="H44" s="560"/>
      <c r="I44" s="431" t="str">
        <f aca="false">S43&amp;".1"</f>
        <v>...1</v>
      </c>
      <c r="J44" s="415"/>
      <c r="K44" s="415"/>
      <c r="L44" s="417"/>
      <c r="P44" s="120" t="n">
        <v>1</v>
      </c>
      <c r="Q44" s="120"/>
      <c r="R44" s="432"/>
      <c r="S44" s="419" t="str">
        <f aca="false">$I44</f>
        <v>...1</v>
      </c>
      <c r="T44" s="433" t="s">
        <v>497</v>
      </c>
      <c r="U44" s="421"/>
      <c r="V44" s="561"/>
      <c r="W44" s="561"/>
      <c r="X44" s="561"/>
      <c r="Y44" s="561"/>
      <c r="Z44" s="561"/>
      <c r="AA44" s="561"/>
      <c r="AB44" s="561"/>
      <c r="AC44" s="245"/>
      <c r="AD44" s="245"/>
      <c r="AE44" s="245"/>
      <c r="AF44" s="245"/>
      <c r="AG44" s="245"/>
      <c r="AH44" s="245"/>
      <c r="AI44" s="245"/>
      <c r="AJ44" s="245"/>
      <c r="AK44" s="424" t="s">
        <v>498</v>
      </c>
      <c r="AM44" s="117"/>
      <c r="AN44" s="117" t="str">
        <f aca="false">IF(T44="","",T44)</f>
        <v>Наименование признака дифференциации</v>
      </c>
      <c r="AO44" s="117"/>
      <c r="AP44" s="117"/>
    </row>
    <row r="45" customFormat="false" ht="23.25" hidden="false" customHeight="true" outlineLevel="0" collapsed="false">
      <c r="A45" s="415" t="s">
        <v>287</v>
      </c>
      <c r="B45" s="415" t="s">
        <v>288</v>
      </c>
      <c r="C45" s="415" t="s">
        <v>289</v>
      </c>
      <c r="D45" s="415" t="s">
        <v>535</v>
      </c>
      <c r="E45" s="416"/>
      <c r="F45" s="416"/>
      <c r="G45" s="416"/>
      <c r="H45" s="416"/>
      <c r="I45" s="431"/>
      <c r="J45" s="431" t="str">
        <f aca="false">I44&amp;".1"</f>
        <v>...1.1</v>
      </c>
      <c r="K45" s="415"/>
      <c r="L45" s="417" t="s">
        <v>422</v>
      </c>
      <c r="P45" s="120"/>
      <c r="Q45" s="120" t="n">
        <v>1</v>
      </c>
      <c r="R45" s="435"/>
      <c r="S45" s="419" t="str">
        <f aca="false">$J45</f>
        <v>...1.1</v>
      </c>
      <c r="T45" s="436" t="s">
        <v>423</v>
      </c>
      <c r="U45" s="421"/>
      <c r="V45" s="434"/>
      <c r="W45" s="434"/>
      <c r="X45" s="434"/>
      <c r="Y45" s="434"/>
      <c r="Z45" s="434"/>
      <c r="AA45" s="434"/>
      <c r="AB45" s="434"/>
      <c r="AC45" s="434"/>
      <c r="AD45" s="434"/>
      <c r="AE45" s="434"/>
      <c r="AF45" s="434"/>
      <c r="AG45" s="434"/>
      <c r="AH45" s="434"/>
      <c r="AI45" s="434"/>
      <c r="AJ45" s="434"/>
      <c r="AK45" s="514" t="s">
        <v>499</v>
      </c>
      <c r="AM45" s="117"/>
      <c r="AN45" s="117" t="str">
        <f aca="false">IF(T45="","",T45)</f>
        <v>Группа потребителей</v>
      </c>
      <c r="AO45" s="117"/>
      <c r="AP45" s="117"/>
    </row>
    <row r="46" customFormat="false" ht="23.25" hidden="false" customHeight="true" outlineLevel="0" collapsed="false">
      <c r="A46" s="415" t="s">
        <v>287</v>
      </c>
      <c r="B46" s="415" t="s">
        <v>288</v>
      </c>
      <c r="C46" s="415" t="s">
        <v>289</v>
      </c>
      <c r="D46" s="415" t="s">
        <v>535</v>
      </c>
      <c r="E46" s="416"/>
      <c r="F46" s="416"/>
      <c r="G46" s="416"/>
      <c r="H46" s="416"/>
      <c r="I46" s="431"/>
      <c r="J46" s="431"/>
      <c r="K46" s="431" t="str">
        <f aca="false">J45&amp;".1"</f>
        <v>...1.1.1</v>
      </c>
      <c r="L46" s="417"/>
      <c r="P46" s="120"/>
      <c r="Q46" s="120"/>
      <c r="R46" s="435" t="n">
        <v>1</v>
      </c>
      <c r="S46" s="419" t="str">
        <f aca="false">$K46</f>
        <v>...1.1.1</v>
      </c>
      <c r="T46" s="562"/>
      <c r="U46" s="421"/>
      <c r="V46" s="461"/>
      <c r="W46" s="461"/>
      <c r="X46" s="462"/>
      <c r="Y46" s="463"/>
      <c r="Z46" s="464" t="s">
        <v>63</v>
      </c>
      <c r="AA46" s="463"/>
      <c r="AB46" s="464" t="s">
        <v>63</v>
      </c>
      <c r="AC46" s="438"/>
      <c r="AD46" s="438"/>
      <c r="AE46" s="440"/>
      <c r="AF46" s="441"/>
      <c r="AG46" s="203" t="s">
        <v>63</v>
      </c>
      <c r="AH46" s="441"/>
      <c r="AI46" s="203" t="s">
        <v>53</v>
      </c>
      <c r="AJ46" s="563"/>
      <c r="AK46" s="56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7"/>
      <c r="AN46" s="117" t="str">
        <f aca="false">IF(T46="","",T46)</f>
        <v/>
      </c>
      <c r="AO46" s="117"/>
      <c r="AP46" s="117"/>
    </row>
    <row r="47" customFormat="false" ht="12.8" hidden="false" customHeight="false" outlineLevel="0" collapsed="false">
      <c r="A47" s="415" t="s">
        <v>287</v>
      </c>
      <c r="B47" s="415" t="s">
        <v>288</v>
      </c>
      <c r="C47" s="415" t="s">
        <v>289</v>
      </c>
      <c r="D47" s="415" t="s">
        <v>535</v>
      </c>
      <c r="E47" s="416"/>
      <c r="F47" s="416"/>
      <c r="G47" s="416"/>
      <c r="H47" s="416"/>
      <c r="I47" s="431"/>
      <c r="J47" s="431"/>
      <c r="K47" s="431"/>
      <c r="L47" s="417"/>
      <c r="P47" s="120"/>
      <c r="Q47" s="120"/>
      <c r="R47" s="435"/>
      <c r="S47" s="396"/>
      <c r="T47" s="421"/>
      <c r="U47" s="421"/>
      <c r="V47" s="461"/>
      <c r="W47" s="461"/>
      <c r="X47" s="443" t="str">
        <f aca="false">Y46&amp;"-"&amp;AA46</f>
        <v>-</v>
      </c>
      <c r="Y47" s="463"/>
      <c r="Z47" s="463"/>
      <c r="AA47" s="463"/>
      <c r="AB47" s="463"/>
      <c r="AC47" s="439"/>
      <c r="AD47" s="439"/>
      <c r="AE47" s="443" t="str">
        <f aca="false">AF46&amp;"-"&amp;AH46</f>
        <v>-</v>
      </c>
      <c r="AF47" s="441"/>
      <c r="AG47" s="203"/>
      <c r="AH47" s="441"/>
      <c r="AI47" s="203"/>
      <c r="AJ47" s="565"/>
      <c r="AK47" s="564"/>
      <c r="AM47" s="117"/>
      <c r="AN47" s="117" t="str">
        <f aca="false">IF(T47="","",T47)</f>
        <v/>
      </c>
      <c r="AO47" s="117"/>
      <c r="AP47" s="117"/>
    </row>
    <row r="48" customFormat="false" ht="21" hidden="false" customHeight="true" outlineLevel="0" collapsed="false">
      <c r="A48" s="415" t="s">
        <v>287</v>
      </c>
      <c r="B48" s="415" t="s">
        <v>288</v>
      </c>
      <c r="C48" s="415" t="s">
        <v>289</v>
      </c>
      <c r="D48" s="415" t="s">
        <v>535</v>
      </c>
      <c r="E48" s="416"/>
      <c r="F48" s="416"/>
      <c r="G48" s="416"/>
      <c r="H48" s="416"/>
      <c r="I48" s="431"/>
      <c r="J48" s="431"/>
      <c r="K48" s="415"/>
      <c r="L48" s="417"/>
      <c r="P48" s="120"/>
      <c r="Q48" s="120"/>
      <c r="R48" s="432"/>
      <c r="S48" s="444"/>
      <c r="T48" s="447" t="s">
        <v>500</v>
      </c>
      <c r="U48" s="193"/>
      <c r="V48" s="193"/>
      <c r="W48" s="193"/>
      <c r="X48" s="193"/>
      <c r="Y48" s="193"/>
      <c r="Z48" s="193"/>
      <c r="AA48" s="193"/>
      <c r="AB48" s="193"/>
      <c r="AC48" s="193"/>
      <c r="AD48" s="193"/>
      <c r="AE48" s="193"/>
      <c r="AF48" s="193"/>
      <c r="AG48" s="193"/>
      <c r="AH48" s="193"/>
      <c r="AI48" s="193"/>
      <c r="AJ48" s="193"/>
      <c r="AK48" s="424" t="s">
        <v>501</v>
      </c>
      <c r="AM48" s="117"/>
      <c r="AN48" s="117" t="str">
        <f aca="false">IF(T48="","",T48)</f>
        <v>Добавить значение признака дифференциации</v>
      </c>
      <c r="AO48" s="117"/>
      <c r="AP48" s="117"/>
    </row>
    <row r="49" customFormat="false" ht="21" hidden="false" customHeight="true" outlineLevel="0" collapsed="false">
      <c r="A49" s="415" t="s">
        <v>287</v>
      </c>
      <c r="B49" s="415" t="s">
        <v>288</v>
      </c>
      <c r="C49" s="415" t="s">
        <v>289</v>
      </c>
      <c r="D49" s="415" t="s">
        <v>535</v>
      </c>
      <c r="E49" s="416"/>
      <c r="F49" s="416"/>
      <c r="G49" s="416"/>
      <c r="H49" s="416"/>
      <c r="I49" s="431"/>
      <c r="J49" s="415"/>
      <c r="K49" s="415"/>
      <c r="L49" s="417"/>
      <c r="P49" s="120"/>
      <c r="Q49" s="120"/>
      <c r="R49" s="432"/>
      <c r="S49" s="444"/>
      <c r="T49" s="451" t="s">
        <v>428</v>
      </c>
      <c r="U49" s="193"/>
      <c r="V49" s="193"/>
      <c r="W49" s="193"/>
      <c r="X49" s="193"/>
      <c r="Y49" s="193"/>
      <c r="Z49" s="193"/>
      <c r="AA49" s="193"/>
      <c r="AB49" s="448"/>
      <c r="AC49" s="193"/>
      <c r="AD49" s="193"/>
      <c r="AE49" s="193"/>
      <c r="AF49" s="193"/>
      <c r="AG49" s="193"/>
      <c r="AH49" s="193"/>
      <c r="AI49" s="448"/>
      <c r="AJ49" s="193"/>
      <c r="AK49" s="566"/>
      <c r="AM49" s="117"/>
      <c r="AN49" s="117" t="str">
        <f aca="false">IF(T49="","",T49)</f>
        <v>Добавить группу потребителей</v>
      </c>
      <c r="AO49" s="117"/>
      <c r="AP49" s="117"/>
    </row>
    <row r="50" customFormat="false" ht="21" hidden="false" customHeight="true" outlineLevel="0" collapsed="false">
      <c r="A50" s="415" t="s">
        <v>287</v>
      </c>
      <c r="B50" s="415" t="s">
        <v>288</v>
      </c>
      <c r="C50" s="415" t="s">
        <v>289</v>
      </c>
      <c r="D50" s="415" t="s">
        <v>535</v>
      </c>
      <c r="E50" s="416"/>
      <c r="F50" s="416"/>
      <c r="G50" s="416"/>
      <c r="H50" s="560"/>
      <c r="I50" s="415"/>
      <c r="J50" s="415"/>
      <c r="K50" s="415"/>
      <c r="L50" s="417"/>
      <c r="M50" s="40"/>
      <c r="N50" s="40"/>
      <c r="O50" s="45"/>
      <c r="P50" s="131"/>
      <c r="Q50" s="450"/>
      <c r="R50" s="418"/>
      <c r="S50" s="444"/>
      <c r="T50" s="567" t="s">
        <v>502</v>
      </c>
      <c r="U50" s="193"/>
      <c r="V50" s="193"/>
      <c r="W50" s="193"/>
      <c r="X50" s="193"/>
      <c r="Y50" s="193"/>
      <c r="Z50" s="193"/>
      <c r="AA50" s="193"/>
      <c r="AB50" s="448"/>
      <c r="AC50" s="193"/>
      <c r="AD50" s="193"/>
      <c r="AE50" s="193"/>
      <c r="AF50" s="193"/>
      <c r="AG50" s="193"/>
      <c r="AH50" s="193"/>
      <c r="AI50" s="448"/>
      <c r="AJ50" s="193"/>
      <c r="AK50" s="449"/>
      <c r="AM50" s="117"/>
      <c r="AN50" s="117" t="str">
        <f aca="false">IF(T50="","",T50)</f>
        <v>Добавить наименование признака дифференциации</v>
      </c>
      <c r="AO50" s="117"/>
      <c r="AP50" s="117"/>
    </row>
    <row r="51" s="47" customFormat="true" ht="12.8" hidden="false" customHeight="false" outlineLevel="0" collapsed="false">
      <c r="A51" s="121" t="s">
        <v>287</v>
      </c>
      <c r="B51" s="121" t="s">
        <v>288</v>
      </c>
      <c r="C51" s="121"/>
      <c r="D51" s="121"/>
      <c r="E51" s="416"/>
      <c r="F51" s="416"/>
      <c r="G51" s="121"/>
      <c r="H51" s="121"/>
      <c r="I51" s="121"/>
      <c r="J51" s="121"/>
      <c r="K51" s="121"/>
      <c r="L51" s="191"/>
      <c r="M51" s="456"/>
      <c r="N51" s="456"/>
      <c r="P51" s="155"/>
      <c r="Q51" s="452"/>
      <c r="R51" s="155"/>
      <c r="S51" s="457"/>
      <c r="T51" s="460" t="s">
        <v>261</v>
      </c>
      <c r="U51" s="459"/>
      <c r="V51" s="459"/>
      <c r="W51" s="459"/>
      <c r="X51" s="459"/>
      <c r="Y51" s="459"/>
      <c r="Z51" s="459"/>
      <c r="AA51" s="459"/>
      <c r="AB51" s="459"/>
      <c r="AC51" s="459"/>
      <c r="AD51" s="459"/>
      <c r="AE51" s="459"/>
      <c r="AF51" s="459"/>
      <c r="AG51" s="459"/>
      <c r="AH51" s="459"/>
      <c r="AI51" s="459"/>
      <c r="AJ51" s="459"/>
      <c r="AK51" s="459"/>
      <c r="AM51" s="117"/>
      <c r="AN51" s="117" t="str">
        <f aca="false">IF(T51="","",T51)</f>
        <v>Добавить централизованную систему для дифференциации</v>
      </c>
      <c r="AO51" s="117"/>
      <c r="AP51" s="117"/>
    </row>
    <row r="52" s="47" customFormat="true" ht="12.8" hidden="false" customHeight="false" outlineLevel="0" collapsed="false">
      <c r="A52" s="121" t="s">
        <v>287</v>
      </c>
      <c r="B52" s="121"/>
      <c r="C52" s="121"/>
      <c r="D52" s="121"/>
      <c r="E52" s="416"/>
      <c r="F52" s="121"/>
      <c r="G52" s="121"/>
      <c r="H52" s="121"/>
      <c r="I52" s="121"/>
      <c r="J52" s="121"/>
      <c r="K52" s="121"/>
      <c r="L52" s="191"/>
      <c r="M52" s="456"/>
      <c r="N52" s="456"/>
      <c r="P52" s="155"/>
      <c r="Q52" s="452"/>
      <c r="R52" s="155"/>
      <c r="S52" s="457"/>
      <c r="T52" s="460" t="s">
        <v>268</v>
      </c>
      <c r="U52" s="459"/>
      <c r="V52" s="459"/>
      <c r="W52" s="459"/>
      <c r="X52" s="459"/>
      <c r="Y52" s="459"/>
      <c r="Z52" s="459"/>
      <c r="AA52" s="459"/>
      <c r="AB52" s="459"/>
      <c r="AC52" s="459"/>
      <c r="AD52" s="459"/>
      <c r="AE52" s="459"/>
      <c r="AF52" s="459"/>
      <c r="AG52" s="459"/>
      <c r="AH52" s="459"/>
      <c r="AI52" s="459"/>
      <c r="AJ52" s="459"/>
      <c r="AK52" s="459"/>
      <c r="AM52" s="117"/>
      <c r="AN52" s="117" t="str">
        <f aca="false">IF(T52="","",T52)</f>
        <v>Добавить территорию для дифференциации</v>
      </c>
      <c r="AO52" s="117"/>
      <c r="AP52" s="117"/>
    </row>
    <row r="53" s="47" customFormat="true" ht="12.8" hidden="false" customHeight="false" outlineLevel="0" collapsed="false">
      <c r="A53" s="121"/>
      <c r="B53" s="121"/>
      <c r="C53" s="121"/>
      <c r="D53" s="121"/>
      <c r="E53" s="121"/>
      <c r="F53" s="121"/>
      <c r="G53" s="121"/>
      <c r="H53" s="121"/>
      <c r="I53" s="121"/>
      <c r="J53" s="121"/>
      <c r="K53" s="121"/>
      <c r="L53" s="191"/>
      <c r="M53" s="456"/>
      <c r="N53" s="456"/>
      <c r="P53" s="155"/>
      <c r="Q53" s="452"/>
      <c r="R53" s="155"/>
      <c r="S53" s="457"/>
      <c r="T53" s="460" t="s">
        <v>269</v>
      </c>
      <c r="U53" s="459"/>
      <c r="V53" s="459"/>
      <c r="W53" s="459"/>
      <c r="X53" s="459"/>
      <c r="Y53" s="459"/>
      <c r="Z53" s="459"/>
      <c r="AA53" s="459"/>
      <c r="AB53" s="459"/>
      <c r="AC53" s="459"/>
      <c r="AD53" s="459"/>
      <c r="AE53" s="459"/>
      <c r="AF53" s="459"/>
      <c r="AG53" s="459"/>
      <c r="AH53" s="459"/>
      <c r="AI53" s="459"/>
      <c r="AJ53" s="459"/>
      <c r="AK53" s="459"/>
      <c r="AM53" s="117"/>
      <c r="AN53" s="117" t="str">
        <f aca="false">IF(T53="","",T53)</f>
        <v>Добавить наименование тарифа</v>
      </c>
      <c r="AO53" s="117"/>
      <c r="AP53" s="117"/>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2"/>
      <c r="T55" s="491"/>
      <c r="U55" s="491"/>
      <c r="V55" s="491"/>
      <c r="W55" s="491"/>
      <c r="X55" s="491"/>
      <c r="Y55" s="491"/>
      <c r="Z55" s="491"/>
      <c r="AA55" s="491"/>
      <c r="AB55" s="491"/>
      <c r="AC55" s="491"/>
      <c r="AD55" s="491"/>
      <c r="AE55" s="491"/>
      <c r="AF55" s="491"/>
      <c r="AG55" s="491"/>
      <c r="AH55" s="491"/>
      <c r="AI55" s="491"/>
      <c r="AJ55" s="491"/>
      <c r="AK55" s="491"/>
    </row>
    <row r="56" customFormat="false" ht="14.25" hidden="false" customHeight="true" outlineLevel="0" collapsed="false">
      <c r="O56" s="45"/>
    </row>
    <row r="57" customFormat="false" ht="14.25" hidden="false" customHeight="true" outlineLevel="0" collapsed="false">
      <c r="O57" s="45"/>
      <c r="S57" s="412"/>
      <c r="T57" s="491"/>
      <c r="U57" s="491"/>
      <c r="V57" s="491"/>
      <c r="W57" s="491"/>
      <c r="X57" s="491"/>
      <c r="Y57" s="491"/>
      <c r="Z57" s="491"/>
      <c r="AA57" s="491"/>
      <c r="AB57" s="491"/>
      <c r="AC57" s="491"/>
      <c r="AD57" s="491"/>
      <c r="AE57" s="491"/>
      <c r="AF57" s="491"/>
      <c r="AG57" s="491"/>
      <c r="AH57" s="491"/>
      <c r="AI57" s="491"/>
      <c r="AJ57" s="491"/>
      <c r="AK57" s="491"/>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true" outlineLevel="0" max="16" min="16" style="51" width="3.71"/>
    <col collapsed="false" customWidth="true" hidden="true" outlineLevel="0" max="17" min="17" style="466" width="3.71"/>
    <col collapsed="false" customWidth="true" hidden="false" outlineLevel="0" max="18" min="18" style="414" width="3.71"/>
    <col collapsed="false" customWidth="true" hidden="false" outlineLevel="0" max="19" min="19" style="75" width="12.71"/>
    <col collapsed="false" customWidth="true" hidden="false" outlineLevel="0" max="20" min="20" style="42" width="32"/>
    <col collapsed="false" customWidth="true" hidden="false" outlineLevel="0" max="21" min="21" style="42" width="0.14"/>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7" width="10.57"/>
    <col collapsed="false" customWidth="true" hidden="false" outlineLevel="0" max="58" min="58" style="47" width="11.14"/>
    <col collapsed="false" customWidth="false" hidden="false" outlineLevel="0" max="60" min="59" style="47" width="10.57"/>
  </cols>
  <sheetData>
    <row r="1" customFormat="false" ht="14.25" hidden="true" customHeight="true" outlineLevel="0" collapsed="false"/>
    <row r="2" customFormat="false" ht="21" hidden="true" customHeight="true" outlineLevel="0" collapsed="false">
      <c r="A2" s="415"/>
      <c r="B2" s="415"/>
      <c r="C2" s="415"/>
      <c r="D2" s="415"/>
      <c r="E2" s="416" t="n">
        <v>1</v>
      </c>
      <c r="F2" s="415"/>
      <c r="G2" s="415"/>
      <c r="H2" s="415"/>
      <c r="I2" s="415"/>
      <c r="J2" s="415"/>
      <c r="K2" s="415"/>
      <c r="L2" s="417"/>
      <c r="M2" s="40"/>
      <c r="N2" s="40"/>
      <c r="O2" s="40"/>
      <c r="Q2" s="54"/>
      <c r="R2" s="418"/>
      <c r="S2" s="419" t="e">
        <f aca="false">INDEX(PT_DIFFERENTIATION_NUM_NTAR,MATCH(A2,PT_DIFFERENTIATION_NTAR_ID,0))</f>
        <v>#N/A</v>
      </c>
      <c r="T2" s="420" t="s">
        <v>130</v>
      </c>
      <c r="U2" s="421"/>
      <c r="V2" s="523"/>
      <c r="W2" s="523"/>
      <c r="X2" s="523"/>
      <c r="Y2" s="523"/>
      <c r="Z2" s="523"/>
      <c r="AA2" s="523"/>
      <c r="AB2" s="523"/>
      <c r="AC2" s="523"/>
      <c r="AD2" s="423" t="e">
        <f aca="false">INDEX(PT_DIFFERENTIATION_NTAR,MATCH(A2,PT_DIFFERENTIATION_NTAR_ID,0))</f>
        <v>#N/A</v>
      </c>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7"/>
      <c r="BF2" s="117" t="str">
        <f aca="false">IF(T2="","",T2)</f>
        <v>Наименование тарифа</v>
      </c>
      <c r="BG2" s="117"/>
      <c r="BH2" s="117"/>
    </row>
    <row r="3" customFormat="false" ht="21" hidden="true" customHeight="true" outlineLevel="0" collapsed="false">
      <c r="A3" s="415"/>
      <c r="B3" s="415"/>
      <c r="C3" s="415"/>
      <c r="D3" s="415"/>
      <c r="E3" s="416"/>
      <c r="F3" s="416" t="n">
        <v>1</v>
      </c>
      <c r="G3" s="415"/>
      <c r="H3" s="415"/>
      <c r="I3" s="415"/>
      <c r="J3" s="415"/>
      <c r="K3" s="415"/>
      <c r="L3" s="417"/>
      <c r="M3" s="40"/>
      <c r="N3" s="40"/>
      <c r="O3" s="40"/>
      <c r="P3" s="44"/>
      <c r="Q3" s="524"/>
      <c r="R3" s="426"/>
      <c r="S3" s="419" t="e">
        <f aca="false">INDEX(PT_DIFFERENTIATION_NUM_TER,MATCH(B3,PT_DIFFERENTIATION_TER_ID,0))</f>
        <v>#N/A</v>
      </c>
      <c r="T3" s="427" t="s">
        <v>413</v>
      </c>
      <c r="U3" s="421"/>
      <c r="V3" s="523"/>
      <c r="W3" s="523"/>
      <c r="X3" s="523"/>
      <c r="Y3" s="523"/>
      <c r="Z3" s="523"/>
      <c r="AA3" s="523"/>
      <c r="AB3" s="523"/>
      <c r="AC3" s="523"/>
      <c r="AD3" s="423" t="e">
        <f aca="false">INDEX(PT_DIFFERENTIATION_TER,MATCH(B3,PT_DIFFERENTIATION_TER_ID,0))</f>
        <v>#N/A</v>
      </c>
      <c r="AE3" s="423"/>
      <c r="AF3" s="423"/>
      <c r="AG3" s="423"/>
      <c r="AH3" s="423"/>
      <c r="AI3" s="423"/>
      <c r="AJ3" s="423"/>
      <c r="AK3" s="423"/>
      <c r="AL3" s="423"/>
      <c r="AM3" s="423"/>
      <c r="AN3" s="423"/>
      <c r="AO3" s="423"/>
      <c r="AP3" s="423"/>
      <c r="AQ3" s="423"/>
      <c r="AR3" s="423"/>
      <c r="AS3" s="423"/>
      <c r="AT3" s="423"/>
      <c r="AU3" s="423"/>
      <c r="AV3" s="423"/>
      <c r="AW3" s="423"/>
      <c r="AX3" s="423"/>
      <c r="AY3" s="423"/>
      <c r="AZ3" s="423"/>
      <c r="BA3" s="423"/>
      <c r="BB3" s="423"/>
      <c r="BC3" s="424" t="s">
        <v>414</v>
      </c>
      <c r="BE3" s="117"/>
      <c r="BF3" s="117" t="str">
        <f aca="false">IF(T3="","",T3)</f>
        <v>Территория действия тарифа</v>
      </c>
      <c r="BG3" s="117"/>
      <c r="BH3" s="117"/>
    </row>
    <row r="4" customFormat="false" ht="33.75" hidden="true" customHeight="true" outlineLevel="0" collapsed="false">
      <c r="A4" s="415"/>
      <c r="B4" s="415"/>
      <c r="C4" s="415"/>
      <c r="D4" s="415"/>
      <c r="E4" s="416"/>
      <c r="F4" s="416"/>
      <c r="G4" s="416" t="n">
        <v>1</v>
      </c>
      <c r="H4" s="415"/>
      <c r="I4" s="415"/>
      <c r="J4" s="415"/>
      <c r="K4" s="415"/>
      <c r="L4" s="417"/>
      <c r="M4" s="40"/>
      <c r="N4" s="40"/>
      <c r="O4" s="40"/>
      <c r="P4" s="126"/>
      <c r="Q4" s="524"/>
      <c r="R4" s="426"/>
      <c r="S4" s="419" t="e">
        <f aca="false">INDEX(PT_DIFFERENTIATION_NUM_CS,MATCH(C4,PT_DIFFERENTIATION_CS_ID,0))</f>
        <v>#N/A</v>
      </c>
      <c r="T4" s="429" t="s">
        <v>530</v>
      </c>
      <c r="U4" s="421"/>
      <c r="V4" s="523"/>
      <c r="W4" s="523"/>
      <c r="X4" s="523"/>
      <c r="Y4" s="523"/>
      <c r="Z4" s="523"/>
      <c r="AA4" s="523"/>
      <c r="AB4" s="523"/>
      <c r="AC4" s="523"/>
      <c r="AD4" s="423" t="e">
        <f aca="false">INDEX(PT_DIFFERENTIATION_CS,MATCH(C4,PT_DIFFERENTIATION_CS_ID,0))</f>
        <v>#N/A</v>
      </c>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4" t="s">
        <v>531</v>
      </c>
      <c r="BE4" s="117"/>
      <c r="BF4" s="117" t="str">
        <f aca="false">IF(T4="","",T4)</f>
        <v>Наименование централизованной системы водоотведения</v>
      </c>
      <c r="BG4" s="117"/>
      <c r="BH4" s="117"/>
    </row>
    <row r="5" s="47" customFormat="true" ht="14.25" hidden="true" customHeight="true" outlineLevel="0" collapsed="false">
      <c r="A5" s="121"/>
      <c r="B5" s="121"/>
      <c r="C5" s="121"/>
      <c r="D5" s="121"/>
      <c r="E5" s="416"/>
      <c r="F5" s="416"/>
      <c r="G5" s="416"/>
      <c r="H5" s="416" t="n">
        <v>1</v>
      </c>
      <c r="I5" s="121"/>
      <c r="J5" s="121"/>
      <c r="K5" s="121"/>
      <c r="L5" s="191"/>
      <c r="M5" s="46"/>
      <c r="N5" s="46"/>
      <c r="O5" s="46"/>
      <c r="P5" s="581"/>
      <c r="Q5" s="582"/>
      <c r="R5" s="435"/>
      <c r="S5" s="305"/>
      <c r="T5" s="583"/>
      <c r="U5" s="503"/>
      <c r="V5" s="525"/>
      <c r="W5" s="525"/>
      <c r="X5" s="525"/>
      <c r="Y5" s="525"/>
      <c r="Z5" s="525"/>
      <c r="AA5" s="525"/>
      <c r="AB5" s="525"/>
      <c r="AC5" s="525"/>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5" t="s">
        <v>418</v>
      </c>
      <c r="BE5" s="117"/>
      <c r="BF5" s="117" t="str">
        <f aca="false">IF(T5="","",T5)</f>
        <v/>
      </c>
      <c r="BG5" s="117"/>
      <c r="BH5" s="117"/>
    </row>
    <row r="6" s="47" customFormat="true" ht="14.25" hidden="true" customHeight="true" outlineLevel="0" collapsed="false">
      <c r="A6" s="121"/>
      <c r="B6" s="121"/>
      <c r="C6" s="121"/>
      <c r="D6" s="121"/>
      <c r="E6" s="416"/>
      <c r="F6" s="416"/>
      <c r="G6" s="416"/>
      <c r="H6" s="416"/>
      <c r="I6" s="431" t="str">
        <f aca="false">S5&amp;".1"</f>
        <v>.1</v>
      </c>
      <c r="J6" s="121"/>
      <c r="K6" s="121"/>
      <c r="L6" s="191" t="s">
        <v>419</v>
      </c>
      <c r="M6" s="510"/>
      <c r="N6" s="510"/>
      <c r="O6" s="510"/>
      <c r="P6" s="120" t="n">
        <v>1</v>
      </c>
      <c r="Q6" s="120"/>
      <c r="R6" s="432"/>
      <c r="S6" s="305"/>
      <c r="T6" s="502"/>
      <c r="U6" s="503"/>
      <c r="V6" s="525"/>
      <c r="W6" s="525"/>
      <c r="X6" s="525"/>
      <c r="Y6" s="525"/>
      <c r="Z6" s="525"/>
      <c r="AA6" s="525"/>
      <c r="AB6" s="525"/>
      <c r="AC6" s="525"/>
      <c r="AD6" s="504"/>
      <c r="AE6" s="504"/>
      <c r="AF6" s="504"/>
      <c r="AG6" s="504"/>
      <c r="AH6" s="504"/>
      <c r="AI6" s="504"/>
      <c r="AJ6" s="504"/>
      <c r="AK6" s="504"/>
      <c r="AL6" s="504"/>
      <c r="AM6" s="504"/>
      <c r="AN6" s="504"/>
      <c r="AO6" s="504"/>
      <c r="AP6" s="504"/>
      <c r="AQ6" s="504"/>
      <c r="AR6" s="504"/>
      <c r="AS6" s="504"/>
      <c r="AT6" s="504"/>
      <c r="AU6" s="504"/>
      <c r="AV6" s="504"/>
      <c r="AW6" s="504"/>
      <c r="AX6" s="504"/>
      <c r="AY6" s="504"/>
      <c r="AZ6" s="504"/>
      <c r="BA6" s="504"/>
      <c r="BB6" s="504"/>
      <c r="BC6" s="505"/>
      <c r="BE6" s="117"/>
      <c r="BF6" s="117" t="str">
        <f aca="false">IF(T6="","",T6)</f>
        <v/>
      </c>
      <c r="BG6" s="117"/>
      <c r="BH6" s="117"/>
    </row>
    <row r="7" s="47" customFormat="true" ht="14.25" hidden="true" customHeight="true" outlineLevel="0" collapsed="false">
      <c r="A7" s="121"/>
      <c r="B7" s="121"/>
      <c r="C7" s="121"/>
      <c r="D7" s="121"/>
      <c r="E7" s="416"/>
      <c r="F7" s="416"/>
      <c r="G7" s="416"/>
      <c r="H7" s="416"/>
      <c r="I7" s="431"/>
      <c r="J7" s="431" t="str">
        <f aca="false">S5&amp;".1"</f>
        <v>.1</v>
      </c>
      <c r="K7" s="121"/>
      <c r="L7" s="191"/>
      <c r="M7" s="510"/>
      <c r="N7" s="510"/>
      <c r="O7" s="510"/>
      <c r="P7" s="120"/>
      <c r="Q7" s="120" t="n">
        <v>1</v>
      </c>
      <c r="R7" s="435"/>
      <c r="S7" s="305"/>
      <c r="T7" s="526"/>
      <c r="U7" s="503"/>
      <c r="V7" s="525"/>
      <c r="W7" s="525"/>
      <c r="X7" s="525"/>
      <c r="Y7" s="525"/>
      <c r="Z7" s="525"/>
      <c r="AA7" s="525"/>
      <c r="AB7" s="525"/>
      <c r="AC7" s="525"/>
      <c r="AD7" s="504"/>
      <c r="AE7" s="504"/>
      <c r="AF7" s="504"/>
      <c r="AG7" s="504"/>
      <c r="AH7" s="504"/>
      <c r="AI7" s="504"/>
      <c r="AJ7" s="504"/>
      <c r="AK7" s="504"/>
      <c r="AL7" s="504"/>
      <c r="AM7" s="504"/>
      <c r="AN7" s="504"/>
      <c r="AO7" s="504"/>
      <c r="AP7" s="504"/>
      <c r="AQ7" s="504"/>
      <c r="AR7" s="504"/>
      <c r="AS7" s="504"/>
      <c r="AT7" s="504"/>
      <c r="AU7" s="504"/>
      <c r="AV7" s="504"/>
      <c r="AW7" s="504"/>
      <c r="AX7" s="504"/>
      <c r="AY7" s="504"/>
      <c r="AZ7" s="504"/>
      <c r="BA7" s="504"/>
      <c r="BB7" s="504"/>
      <c r="BC7" s="505"/>
      <c r="BE7" s="117"/>
      <c r="BF7" s="117" t="str">
        <f aca="false">IF(T7="","",T7)</f>
        <v/>
      </c>
      <c r="BG7" s="117"/>
      <c r="BH7" s="117"/>
    </row>
    <row r="8" customFormat="false" ht="11.25" hidden="true" customHeight="true" outlineLevel="0" collapsed="false">
      <c r="A8" s="415"/>
      <c r="B8" s="415"/>
      <c r="C8" s="415"/>
      <c r="D8" s="415"/>
      <c r="E8" s="416"/>
      <c r="F8" s="416"/>
      <c r="G8" s="416"/>
      <c r="H8" s="416"/>
      <c r="I8" s="431"/>
      <c r="J8" s="431"/>
      <c r="K8" s="431" t="e">
        <f aca="false">S4&amp;".1"</f>
        <v>#N/A</v>
      </c>
      <c r="L8" s="417"/>
      <c r="P8" s="120"/>
      <c r="Q8" s="120"/>
      <c r="R8" s="527" t="n">
        <v>1</v>
      </c>
      <c r="S8" s="477" t="e">
        <f aca="false">$K8</f>
        <v>#N/A</v>
      </c>
      <c r="T8" s="562"/>
      <c r="U8" s="421"/>
      <c r="V8" s="438"/>
      <c r="W8" s="440"/>
      <c r="X8" s="438"/>
      <c r="Y8" s="440"/>
      <c r="Z8" s="441"/>
      <c r="AA8" s="203" t="s">
        <v>63</v>
      </c>
      <c r="AB8" s="441"/>
      <c r="AC8" s="203" t="s">
        <v>63</v>
      </c>
      <c r="AD8" s="203" t="s">
        <v>63</v>
      </c>
      <c r="AE8" s="529"/>
      <c r="AF8" s="301" t="n">
        <v>1</v>
      </c>
      <c r="AG8" s="580"/>
      <c r="AH8" s="203" t="s">
        <v>63</v>
      </c>
      <c r="AI8" s="529"/>
      <c r="AJ8" s="301" t="n">
        <v>1</v>
      </c>
      <c r="AK8" s="584"/>
      <c r="AL8" s="203" t="s">
        <v>63</v>
      </c>
      <c r="AM8" s="269"/>
      <c r="AN8" s="301" t="n">
        <v>1</v>
      </c>
      <c r="AO8" s="585"/>
      <c r="AP8" s="586" t="s">
        <v>63</v>
      </c>
      <c r="AQ8" s="530"/>
      <c r="AR8" s="301" t="n">
        <v>1</v>
      </c>
      <c r="AS8" s="83"/>
      <c r="AT8" s="438"/>
      <c r="AU8" s="440"/>
      <c r="AV8" s="438"/>
      <c r="AW8" s="440"/>
      <c r="AX8" s="441"/>
      <c r="AY8" s="203" t="s">
        <v>63</v>
      </c>
      <c r="AZ8" s="441"/>
      <c r="BA8" s="203" t="s">
        <v>63</v>
      </c>
      <c r="BB8" s="489"/>
      <c r="BC8" s="442" t="s">
        <v>515</v>
      </c>
      <c r="BE8" s="117"/>
      <c r="BF8" s="117" t="str">
        <f aca="false">IF(T8="","",T8)</f>
        <v/>
      </c>
      <c r="BG8" s="117"/>
      <c r="BH8" s="117"/>
    </row>
    <row r="9" customFormat="false" ht="11.25" hidden="true" customHeight="true" outlineLevel="0" collapsed="false">
      <c r="A9" s="415"/>
      <c r="B9" s="415"/>
      <c r="C9" s="415"/>
      <c r="D9" s="415"/>
      <c r="E9" s="416"/>
      <c r="F9" s="416"/>
      <c r="G9" s="416"/>
      <c r="H9" s="416"/>
      <c r="I9" s="431"/>
      <c r="J9" s="431"/>
      <c r="K9" s="431"/>
      <c r="L9" s="417"/>
      <c r="P9" s="120"/>
      <c r="Q9" s="120"/>
      <c r="R9" s="527"/>
      <c r="S9" s="477"/>
      <c r="T9" s="562"/>
      <c r="U9" s="421"/>
      <c r="V9" s="519"/>
      <c r="W9" s="533"/>
      <c r="X9" s="519"/>
      <c r="Y9" s="533"/>
      <c r="Z9" s="519"/>
      <c r="AA9" s="519"/>
      <c r="AB9" s="519"/>
      <c r="AC9" s="519"/>
      <c r="AD9" s="203"/>
      <c r="AE9" s="529"/>
      <c r="AF9" s="301"/>
      <c r="AG9" s="580"/>
      <c r="AH9" s="203"/>
      <c r="AI9" s="529"/>
      <c r="AJ9" s="301"/>
      <c r="AK9" s="584"/>
      <c r="AL9" s="203"/>
      <c r="AM9" s="269"/>
      <c r="AN9" s="301"/>
      <c r="AO9" s="585"/>
      <c r="AP9" s="586"/>
      <c r="AQ9" s="532"/>
      <c r="AR9" s="167"/>
      <c r="AS9" s="167" t="s">
        <v>516</v>
      </c>
      <c r="AT9" s="519"/>
      <c r="AU9" s="533"/>
      <c r="AV9" s="519"/>
      <c r="AW9" s="533"/>
      <c r="AX9" s="519"/>
      <c r="AY9" s="519"/>
      <c r="AZ9" s="519"/>
      <c r="BA9" s="519"/>
      <c r="BB9" s="531"/>
      <c r="BC9" s="442"/>
      <c r="BE9" s="117"/>
      <c r="BF9" s="117"/>
      <c r="BG9" s="117"/>
      <c r="BH9" s="117"/>
    </row>
    <row r="10" customFormat="false" ht="11.25" hidden="true" customHeight="true" outlineLevel="0" collapsed="false">
      <c r="A10" s="415"/>
      <c r="B10" s="415"/>
      <c r="C10" s="415"/>
      <c r="D10" s="415"/>
      <c r="E10" s="416"/>
      <c r="F10" s="416"/>
      <c r="G10" s="416"/>
      <c r="H10" s="416"/>
      <c r="I10" s="431"/>
      <c r="J10" s="431"/>
      <c r="K10" s="431"/>
      <c r="L10" s="417"/>
      <c r="P10" s="120"/>
      <c r="Q10" s="120"/>
      <c r="R10" s="527"/>
      <c r="S10" s="477"/>
      <c r="T10" s="562"/>
      <c r="U10" s="421"/>
      <c r="V10" s="519"/>
      <c r="W10" s="533"/>
      <c r="X10" s="519"/>
      <c r="Y10" s="533"/>
      <c r="Z10" s="519"/>
      <c r="AA10" s="519"/>
      <c r="AB10" s="519"/>
      <c r="AC10" s="519"/>
      <c r="AD10" s="203"/>
      <c r="AE10" s="529"/>
      <c r="AF10" s="301"/>
      <c r="AG10" s="580"/>
      <c r="AH10" s="203"/>
      <c r="AI10" s="529"/>
      <c r="AJ10" s="301"/>
      <c r="AK10" s="584"/>
      <c r="AL10" s="203"/>
      <c r="AM10" s="532"/>
      <c r="AN10" s="587"/>
      <c r="AO10" s="587" t="s">
        <v>536</v>
      </c>
      <c r="AP10" s="167"/>
      <c r="AQ10" s="167"/>
      <c r="AR10" s="167"/>
      <c r="AS10" s="519"/>
      <c r="AT10" s="519"/>
      <c r="AU10" s="533"/>
      <c r="AV10" s="519"/>
      <c r="AW10" s="533"/>
      <c r="AX10" s="519"/>
      <c r="AY10" s="519"/>
      <c r="AZ10" s="519"/>
      <c r="BA10" s="519"/>
      <c r="BB10" s="531"/>
      <c r="BC10" s="442"/>
      <c r="BE10" s="117"/>
      <c r="BF10" s="117"/>
      <c r="BG10" s="117"/>
      <c r="BH10" s="117"/>
    </row>
    <row r="11" customFormat="false" ht="11.25" hidden="true" customHeight="true" outlineLevel="0" collapsed="false">
      <c r="A11" s="415"/>
      <c r="B11" s="415"/>
      <c r="C11" s="415"/>
      <c r="D11" s="415"/>
      <c r="E11" s="416"/>
      <c r="F11" s="416"/>
      <c r="G11" s="416"/>
      <c r="H11" s="416"/>
      <c r="I11" s="431"/>
      <c r="J11" s="431"/>
      <c r="K11" s="431"/>
      <c r="L11" s="417"/>
      <c r="P11" s="120"/>
      <c r="Q11" s="120"/>
      <c r="R11" s="527"/>
      <c r="S11" s="477"/>
      <c r="T11" s="562"/>
      <c r="U11" s="421"/>
      <c r="V11" s="519"/>
      <c r="W11" s="533"/>
      <c r="X11" s="519"/>
      <c r="Y11" s="533"/>
      <c r="Z11" s="519"/>
      <c r="AA11" s="519"/>
      <c r="AB11" s="519"/>
      <c r="AC11" s="519"/>
      <c r="AD11" s="203"/>
      <c r="AE11" s="529"/>
      <c r="AF11" s="301"/>
      <c r="AG11" s="580"/>
      <c r="AH11" s="203"/>
      <c r="AI11" s="535"/>
      <c r="AJ11" s="160"/>
      <c r="AK11" s="382" t="s">
        <v>537</v>
      </c>
      <c r="AL11" s="519"/>
      <c r="AM11" s="519"/>
      <c r="AN11" s="519"/>
      <c r="AO11" s="519"/>
      <c r="AP11" s="519"/>
      <c r="AQ11" s="519"/>
      <c r="AR11" s="519"/>
      <c r="AS11" s="519"/>
      <c r="AT11" s="519"/>
      <c r="AU11" s="533"/>
      <c r="AV11" s="519"/>
      <c r="AW11" s="533"/>
      <c r="AX11" s="519"/>
      <c r="AY11" s="519"/>
      <c r="AZ11" s="519"/>
      <c r="BA11" s="519"/>
      <c r="BB11" s="531"/>
      <c r="BC11" s="442"/>
      <c r="BE11" s="117"/>
      <c r="BF11" s="117"/>
      <c r="BG11" s="117"/>
      <c r="BH11" s="117"/>
    </row>
    <row r="12" customFormat="false" ht="11.25" hidden="true" customHeight="true" outlineLevel="0" collapsed="false">
      <c r="A12" s="415"/>
      <c r="B12" s="415"/>
      <c r="C12" s="415"/>
      <c r="D12" s="415"/>
      <c r="E12" s="416"/>
      <c r="F12" s="416"/>
      <c r="G12" s="416"/>
      <c r="H12" s="416"/>
      <c r="I12" s="431"/>
      <c r="J12" s="431"/>
      <c r="K12" s="431"/>
      <c r="L12" s="417"/>
      <c r="P12" s="120"/>
      <c r="Q12" s="120"/>
      <c r="R12" s="527"/>
      <c r="S12" s="477"/>
      <c r="T12" s="562"/>
      <c r="U12" s="421"/>
      <c r="V12" s="519"/>
      <c r="W12" s="520" t="str">
        <f aca="false">Z8&amp;"-"&amp;AB8</f>
        <v>-</v>
      </c>
      <c r="X12" s="519"/>
      <c r="Y12" s="520" t="str">
        <f aca="false">AB8&amp;"-"&amp;AD8</f>
        <v>-да</v>
      </c>
      <c r="Z12" s="519"/>
      <c r="AA12" s="519"/>
      <c r="AB12" s="519"/>
      <c r="AC12" s="519"/>
      <c r="AD12" s="203"/>
      <c r="AE12" s="537"/>
      <c r="AF12" s="538"/>
      <c r="AG12" s="167" t="s">
        <v>519</v>
      </c>
      <c r="AH12" s="519"/>
      <c r="AI12" s="519"/>
      <c r="AJ12" s="519"/>
      <c r="AK12" s="519"/>
      <c r="AL12" s="519"/>
      <c r="AM12" s="519"/>
      <c r="AN12" s="519"/>
      <c r="AO12" s="519"/>
      <c r="AP12" s="519"/>
      <c r="AQ12" s="519"/>
      <c r="AR12" s="519"/>
      <c r="AS12" s="519"/>
      <c r="AT12" s="519"/>
      <c r="AU12" s="520" t="str">
        <f aca="false">AX8&amp;"-"&amp;AZ8</f>
        <v>-</v>
      </c>
      <c r="AV12" s="519"/>
      <c r="AW12" s="520" t="str">
        <f aca="false">AZ8&amp;"-"&amp;BB8</f>
        <v>-</v>
      </c>
      <c r="AX12" s="519"/>
      <c r="AY12" s="519"/>
      <c r="AZ12" s="519"/>
      <c r="BA12" s="519"/>
      <c r="BB12" s="536" t="str">
        <f aca="false">BE8&amp;"-"&amp;BG8</f>
        <v>-</v>
      </c>
      <c r="BC12" s="442"/>
      <c r="BE12" s="117"/>
      <c r="BF12" s="117" t="str">
        <f aca="false">IF(T12="","",T12)</f>
        <v/>
      </c>
      <c r="BG12" s="117"/>
      <c r="BH12" s="117"/>
    </row>
    <row r="13" customFormat="false" ht="11.25" hidden="true" customHeight="true" outlineLevel="0" collapsed="false">
      <c r="A13" s="415"/>
      <c r="B13" s="415"/>
      <c r="C13" s="415"/>
      <c r="D13" s="415"/>
      <c r="E13" s="416"/>
      <c r="F13" s="416"/>
      <c r="G13" s="416"/>
      <c r="H13" s="416"/>
      <c r="I13" s="431"/>
      <c r="J13" s="431"/>
      <c r="K13" s="415"/>
      <c r="L13" s="417"/>
      <c r="P13" s="120"/>
      <c r="Q13" s="120"/>
      <c r="R13" s="432"/>
      <c r="S13" s="444"/>
      <c r="T13" s="447" t="s">
        <v>481</v>
      </c>
      <c r="U13" s="193"/>
      <c r="V13" s="193"/>
      <c r="W13" s="193"/>
      <c r="X13" s="193"/>
      <c r="Y13" s="193"/>
      <c r="Z13" s="193"/>
      <c r="AA13" s="193"/>
      <c r="AB13" s="193"/>
      <c r="AC13" s="193"/>
      <c r="AD13" s="558"/>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446"/>
      <c r="BC13" s="442"/>
      <c r="BE13" s="117"/>
      <c r="BF13" s="117" t="str">
        <f aca="false">IF(T13="","",T13)</f>
        <v>Добавить строку</v>
      </c>
      <c r="BG13" s="117"/>
      <c r="BH13" s="117"/>
    </row>
    <row r="14" s="47" customFormat="true" ht="14.25" hidden="true" customHeight="true" outlineLevel="0" collapsed="false">
      <c r="A14" s="121"/>
      <c r="B14" s="121"/>
      <c r="C14" s="121"/>
      <c r="D14" s="121"/>
      <c r="E14" s="416"/>
      <c r="F14" s="416"/>
      <c r="G14" s="416"/>
      <c r="H14" s="416"/>
      <c r="I14" s="431"/>
      <c r="J14" s="121"/>
      <c r="K14" s="121"/>
      <c r="L14" s="191"/>
      <c r="M14" s="510"/>
      <c r="N14" s="510"/>
      <c r="O14" s="510"/>
      <c r="P14" s="120"/>
      <c r="Q14" s="120"/>
      <c r="R14" s="432"/>
      <c r="S14" s="506"/>
      <c r="T14" s="507"/>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8"/>
      <c r="AY14" s="508"/>
      <c r="AZ14" s="508"/>
      <c r="BA14" s="508"/>
      <c r="BB14" s="508"/>
      <c r="BC14" s="509"/>
      <c r="BE14" s="117"/>
      <c r="BF14" s="117" t="str">
        <f aca="false">IF(T14="","",T14)</f>
        <v/>
      </c>
      <c r="BG14" s="117"/>
      <c r="BH14" s="117"/>
    </row>
    <row r="15" s="47" customFormat="true" ht="14.25" hidden="true" customHeight="true" outlineLevel="0" collapsed="false">
      <c r="A15" s="121"/>
      <c r="B15" s="121"/>
      <c r="C15" s="121"/>
      <c r="D15" s="121"/>
      <c r="E15" s="416"/>
      <c r="F15" s="416"/>
      <c r="G15" s="416"/>
      <c r="H15" s="416"/>
      <c r="I15" s="121"/>
      <c r="J15" s="121"/>
      <c r="K15" s="121"/>
      <c r="L15" s="191"/>
      <c r="M15" s="46"/>
      <c r="N15" s="46"/>
      <c r="P15" s="155"/>
      <c r="Q15" s="452"/>
      <c r="R15" s="539"/>
      <c r="S15" s="506"/>
      <c r="T15" s="507"/>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8"/>
      <c r="AY15" s="508"/>
      <c r="AZ15" s="508"/>
      <c r="BA15" s="508"/>
      <c r="BB15" s="508"/>
      <c r="BC15" s="509"/>
      <c r="BE15" s="117"/>
      <c r="BF15" s="117" t="str">
        <f aca="false">IF(T15="","",T15)</f>
        <v/>
      </c>
      <c r="BG15" s="117"/>
      <c r="BH15" s="117"/>
    </row>
    <row r="16" s="47" customFormat="true" ht="14.25" hidden="true" customHeight="true" outlineLevel="0" collapsed="false">
      <c r="A16" s="121"/>
      <c r="B16" s="121"/>
      <c r="C16" s="121"/>
      <c r="D16" s="121"/>
      <c r="E16" s="416"/>
      <c r="F16" s="416"/>
      <c r="G16" s="416"/>
      <c r="H16" s="121"/>
      <c r="I16" s="121"/>
      <c r="J16" s="121"/>
      <c r="K16" s="121"/>
      <c r="L16" s="191"/>
      <c r="M16" s="46"/>
      <c r="N16" s="46"/>
      <c r="P16" s="155"/>
      <c r="Q16" s="452"/>
      <c r="R16" s="155"/>
      <c r="S16" s="457"/>
      <c r="T16" s="460"/>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E16" s="117"/>
      <c r="BF16" s="117" t="str">
        <f aca="false">IF(T16="","",T16)</f>
        <v/>
      </c>
      <c r="BG16" s="117"/>
      <c r="BH16" s="117"/>
    </row>
    <row r="17" s="47" customFormat="true" ht="14.25" hidden="true" customHeight="true" outlineLevel="0" collapsed="false">
      <c r="A17" s="121"/>
      <c r="B17" s="121"/>
      <c r="C17" s="121"/>
      <c r="D17" s="121"/>
      <c r="E17" s="416"/>
      <c r="F17" s="416"/>
      <c r="G17" s="121"/>
      <c r="H17" s="121"/>
      <c r="I17" s="121"/>
      <c r="J17" s="121"/>
      <c r="K17" s="121"/>
      <c r="L17" s="191"/>
      <c r="M17" s="456"/>
      <c r="N17" s="456"/>
      <c r="P17" s="155"/>
      <c r="Q17" s="452"/>
      <c r="R17" s="155"/>
      <c r="S17" s="457"/>
      <c r="T17" s="460" t="s">
        <v>261</v>
      </c>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E17" s="117"/>
      <c r="BF17" s="117" t="str">
        <f aca="false">IF(T17="","",T17)</f>
        <v>Добавить централизованную систему для дифференциации</v>
      </c>
      <c r="BG17" s="117"/>
      <c r="BH17" s="117"/>
    </row>
    <row r="18" s="47" customFormat="true" ht="14.25" hidden="true" customHeight="true" outlineLevel="0" collapsed="false">
      <c r="A18" s="121"/>
      <c r="B18" s="121"/>
      <c r="C18" s="121"/>
      <c r="D18" s="121"/>
      <c r="E18" s="416"/>
      <c r="F18" s="121"/>
      <c r="G18" s="121"/>
      <c r="H18" s="121"/>
      <c r="I18" s="121"/>
      <c r="J18" s="121"/>
      <c r="K18" s="121"/>
      <c r="L18" s="191"/>
      <c r="M18" s="456"/>
      <c r="N18" s="456"/>
      <c r="P18" s="155"/>
      <c r="Q18" s="452"/>
      <c r="R18" s="155"/>
      <c r="S18" s="457"/>
      <c r="T18" s="460" t="s">
        <v>268</v>
      </c>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E18" s="117"/>
      <c r="BF18" s="117" t="str">
        <f aca="false">IF(T18="","",T18)</f>
        <v>Добавить территорию для дифференциации</v>
      </c>
      <c r="BG18" s="117"/>
      <c r="BH18" s="117"/>
    </row>
    <row r="19" customFormat="false" ht="14.25" hidden="true" customHeight="true" outlineLevel="0" collapsed="false"/>
    <row r="20" customFormat="false" ht="14.25" hidden="true" customHeight="true" outlineLevel="0" collapsed="false">
      <c r="AD20" s="459" t="s">
        <v>53</v>
      </c>
      <c r="AE20" s="540"/>
      <c r="AF20" s="459" t="n">
        <v>1</v>
      </c>
      <c r="AG20" s="541"/>
      <c r="AH20" s="459" t="s">
        <v>53</v>
      </c>
      <c r="AI20" s="540"/>
      <c r="AJ20" s="459" t="n">
        <v>1</v>
      </c>
      <c r="AK20" s="541"/>
      <c r="AL20" s="459" t="s">
        <v>53</v>
      </c>
      <c r="AM20" s="542"/>
      <c r="AN20" s="459" t="n">
        <v>1</v>
      </c>
      <c r="AO20" s="122"/>
      <c r="AP20" s="459" t="s">
        <v>53</v>
      </c>
      <c r="AQ20" s="542"/>
      <c r="AR20" s="459" t="n">
        <v>1</v>
      </c>
      <c r="AS20" s="122"/>
      <c r="AT20" s="439"/>
      <c r="AU20" s="500"/>
      <c r="AV20" s="439"/>
      <c r="AW20" s="500"/>
      <c r="AX20" s="546"/>
      <c r="AY20" s="248" t="s">
        <v>63</v>
      </c>
      <c r="AZ20" s="546"/>
      <c r="BA20" s="248" t="s">
        <v>63</v>
      </c>
    </row>
    <row r="21" customFormat="false" ht="14.25" hidden="true" customHeight="true" outlineLevel="0" collapsed="false">
      <c r="BD21" s="119"/>
      <c r="BE21" s="119"/>
      <c r="BF21" s="119"/>
      <c r="BG21" s="119"/>
      <c r="BH21" s="119"/>
    </row>
    <row r="22" customFormat="false" ht="14.25" hidden="true" customHeight="true" outlineLevel="0" collapsed="false">
      <c r="O22" s="465" t="s">
        <v>431</v>
      </c>
      <c r="Z22" s="498"/>
      <c r="AB22" s="498"/>
      <c r="AX22" s="498"/>
      <c r="AZ22" s="498"/>
      <c r="BD22" s="119"/>
      <c r="BE22" s="119"/>
      <c r="BF22" s="119"/>
      <c r="BG22" s="119"/>
      <c r="BH22" s="119"/>
    </row>
    <row r="23" customFormat="false" ht="14.25" hidden="true" customHeight="true" outlineLevel="0" collapsed="false">
      <c r="BD23" s="119"/>
      <c r="BE23" s="119"/>
      <c r="BF23" s="119"/>
      <c r="BG23" s="119"/>
      <c r="BH23" s="119"/>
    </row>
    <row r="24" s="547" customFormat="true" ht="14.25" hidden="true" customHeight="true" outlineLevel="0" collapsed="false">
      <c r="M24" s="548"/>
      <c r="N24" s="548"/>
      <c r="O24" s="547" t="s">
        <v>432</v>
      </c>
      <c r="P24" s="548"/>
      <c r="Q24" s="549"/>
      <c r="R24" s="549"/>
      <c r="AA24" s="547" t="s">
        <v>434</v>
      </c>
      <c r="AC24" s="547" t="s">
        <v>435</v>
      </c>
      <c r="AD24" s="547" t="s">
        <v>482</v>
      </c>
      <c r="AH24" s="547" t="s">
        <v>482</v>
      </c>
      <c r="AK24" s="547" t="s">
        <v>520</v>
      </c>
      <c r="AL24" s="547" t="s">
        <v>482</v>
      </c>
      <c r="AP24" s="547" t="s">
        <v>482</v>
      </c>
      <c r="AY24" s="547" t="s">
        <v>434</v>
      </c>
      <c r="BA24" s="547" t="s">
        <v>435</v>
      </c>
      <c r="BD24" s="550"/>
      <c r="BE24" s="550"/>
      <c r="BF24" s="550"/>
      <c r="BG24" s="550"/>
      <c r="BH24" s="550"/>
    </row>
    <row r="25" customFormat="false" ht="14.25" hidden="true" customHeight="true" outlineLevel="0" collapsed="false">
      <c r="O25" s="417"/>
      <c r="BD25" s="119"/>
      <c r="BE25" s="119"/>
      <c r="BF25" s="119"/>
      <c r="BG25" s="119"/>
      <c r="BH25" s="119"/>
    </row>
    <row r="26" customFormat="false" ht="14.25" hidden="true" customHeight="true" outlineLevel="0" collapsed="false">
      <c r="O26" s="417"/>
      <c r="BD26" s="119"/>
      <c r="BE26" s="119"/>
      <c r="BF26" s="119"/>
      <c r="BG26" s="119"/>
      <c r="BH26" s="119"/>
    </row>
    <row r="27" customFormat="false" ht="14.25" hidden="false" customHeight="true" outlineLevel="0" collapsed="false">
      <c r="Q27" s="551"/>
      <c r="R27" s="467"/>
      <c r="S27" s="468"/>
      <c r="T27" s="79"/>
      <c r="U27" s="79"/>
    </row>
    <row r="28" customFormat="false" ht="14.25" hidden="false" customHeight="true" outlineLevel="0" collapsed="false">
      <c r="Q28" s="551"/>
      <c r="R28" s="467"/>
      <c r="S28" s="212" t="str">
        <f aca="false">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4"/>
    </row>
    <row r="29" customFormat="false" ht="14.25" hidden="false" customHeight="true" outlineLevel="0" collapsed="false">
      <c r="Q29" s="551"/>
      <c r="R29" s="467"/>
      <c r="S29" s="265" t="str">
        <f aca="false">IF(org=0,"Не определено",org)</f>
        <v>ООО "Газпром теплоэнерго Ярославль"</v>
      </c>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14"/>
    </row>
    <row r="30" customFormat="false" ht="14.25" hidden="false" customHeight="true" outlineLevel="0" collapsed="false">
      <c r="Q30" s="551"/>
      <c r="R30" s="467"/>
      <c r="S30" s="468"/>
      <c r="T30" s="79"/>
      <c r="U30" s="7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69"/>
      <c r="AY30" s="469"/>
      <c r="AZ30" s="469"/>
      <c r="BA30" s="469"/>
    </row>
    <row r="31" s="174" customFormat="true" ht="25.5" hidden="false" customHeight="true" outlineLevel="0" collapsed="false">
      <c r="A31" s="139"/>
      <c r="B31" s="139"/>
      <c r="C31" s="139"/>
      <c r="D31" s="139"/>
      <c r="E31" s="139"/>
      <c r="F31" s="139"/>
      <c r="G31" s="139"/>
      <c r="H31" s="139"/>
      <c r="I31" s="139"/>
      <c r="J31" s="139"/>
      <c r="K31" s="139"/>
      <c r="L31" s="417"/>
      <c r="M31" s="139"/>
      <c r="N31" s="139"/>
      <c r="O31" s="139"/>
      <c r="P31" s="139"/>
      <c r="Q31" s="139"/>
      <c r="S31" s="470" t="s">
        <v>37</v>
      </c>
      <c r="T31" s="470"/>
      <c r="U31" s="471"/>
      <c r="V31" s="472" t="str">
        <f aca="false">IF(TITLE_NAME_OR_PR_CHANGE="",IF(TITLE_NAME_OR_PR="","",TITLE_NAME_OR_PR),TITLE_NAME_OR_PR_CHANGE)</f>
        <v>Министерство тарифного регулирования Ярославской области</v>
      </c>
      <c r="W31" s="472"/>
      <c r="X31" s="472"/>
      <c r="Y31" s="472"/>
      <c r="Z31" s="472"/>
      <c r="AA31" s="472"/>
      <c r="AB31" s="472"/>
      <c r="AC31" s="42"/>
      <c r="AD31" s="472" t="str">
        <f aca="false">IF(TITLE_NAME_OR_PR_CHANGE="",IF(TITLE_NAME_OR_PR="","",TITLE_NAME_OR_PR),TITLE_NAME_OR_PR_CHANGE)</f>
        <v>Министерство тарифного регулирования Ярославской области</v>
      </c>
      <c r="AE31" s="472"/>
      <c r="AF31" s="472"/>
      <c r="AG31" s="472"/>
      <c r="AH31" s="472"/>
      <c r="AI31" s="472"/>
      <c r="AJ31" s="472"/>
      <c r="AK31" s="472"/>
      <c r="AL31" s="472"/>
      <c r="AM31" s="472"/>
      <c r="AN31" s="472"/>
      <c r="AO31" s="472"/>
      <c r="AP31" s="472"/>
      <c r="AQ31" s="472"/>
      <c r="AR31" s="472"/>
      <c r="AS31" s="472"/>
      <c r="AT31" s="472"/>
      <c r="AU31" s="472"/>
      <c r="AV31" s="472"/>
      <c r="AW31" s="472"/>
      <c r="AX31" s="472"/>
      <c r="AY31" s="472"/>
      <c r="AZ31" s="472"/>
      <c r="BA31" s="42"/>
      <c r="BB31" s="42"/>
      <c r="BC31" s="473"/>
      <c r="BD31" s="117"/>
      <c r="BE31" s="117"/>
      <c r="BF31" s="117"/>
      <c r="BG31" s="117"/>
      <c r="BH31" s="117"/>
    </row>
    <row r="32" s="174" customFormat="true" ht="18.75" hidden="false" customHeight="true" outlineLevel="0" collapsed="false">
      <c r="A32" s="139"/>
      <c r="B32" s="139"/>
      <c r="C32" s="139"/>
      <c r="D32" s="139"/>
      <c r="E32" s="139"/>
      <c r="F32" s="139"/>
      <c r="G32" s="139"/>
      <c r="H32" s="139"/>
      <c r="I32" s="139"/>
      <c r="J32" s="139"/>
      <c r="K32" s="139"/>
      <c r="L32" s="417"/>
      <c r="M32" s="139"/>
      <c r="N32" s="139"/>
      <c r="O32" s="139"/>
      <c r="P32" s="139"/>
      <c r="Q32" s="139"/>
      <c r="S32" s="470" t="s">
        <v>437</v>
      </c>
      <c r="T32" s="470"/>
      <c r="U32" s="471"/>
      <c r="V32" s="474" t="str">
        <f aca="false">IF(TITLE_DATE_PR_CHANGE="",IF(TITLE_DATE_PR="","",TITLE_DATE_PR),TITLE_DATE_PR_CHANGE)</f>
        <v>45279.46460648148</v>
      </c>
      <c r="W32" s="474"/>
      <c r="X32" s="474"/>
      <c r="Y32" s="474"/>
      <c r="Z32" s="474"/>
      <c r="AA32" s="474"/>
      <c r="AB32" s="474"/>
      <c r="AC32" s="42"/>
      <c r="AD32" s="474" t="str">
        <f aca="false">IF(TITLE_DATE_PR_CHANGE="",IF(TITLE_DATE_PR="","",TITLE_DATE_PR),TITLE_DATE_PR_CHANGE)</f>
        <v>45279.46460648148</v>
      </c>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2"/>
      <c r="BB32" s="42"/>
      <c r="BC32" s="473"/>
      <c r="BD32" s="117"/>
      <c r="BE32" s="117"/>
      <c r="BF32" s="117"/>
      <c r="BG32" s="117"/>
      <c r="BH32" s="117"/>
    </row>
    <row r="33" s="174" customFormat="true" ht="18.75" hidden="false" customHeight="true" outlineLevel="0" collapsed="false">
      <c r="A33" s="139"/>
      <c r="B33" s="139"/>
      <c r="C33" s="139"/>
      <c r="D33" s="139"/>
      <c r="E33" s="139"/>
      <c r="F33" s="139"/>
      <c r="G33" s="139"/>
      <c r="H33" s="139"/>
      <c r="I33" s="139"/>
      <c r="J33" s="139"/>
      <c r="K33" s="139"/>
      <c r="L33" s="417"/>
      <c r="M33" s="139"/>
      <c r="N33" s="139"/>
      <c r="O33" s="139"/>
      <c r="P33" s="139"/>
      <c r="Q33" s="139"/>
      <c r="S33" s="470" t="s">
        <v>438</v>
      </c>
      <c r="T33" s="470"/>
      <c r="U33" s="471"/>
      <c r="V33" s="472" t="str">
        <f aca="false">IF(TITLE_NUMBER_PR_CHANGE="",IF(TITLE_NUMBER_PR="","",TITLE_NUMBER_PR),TITLE_NUMBER_PR_CHANGE)</f>
        <v>403-гвс, 404-гвс, 406-гвс</v>
      </c>
      <c r="W33" s="472"/>
      <c r="X33" s="472"/>
      <c r="Y33" s="472"/>
      <c r="Z33" s="472"/>
      <c r="AA33" s="472"/>
      <c r="AB33" s="472"/>
      <c r="AC33" s="42"/>
      <c r="AD33" s="472" t="str">
        <f aca="false">IF(TITLE_NUMBER_PR_CHANGE="",IF(TITLE_NUMBER_PR="","",TITLE_NUMBER_PR),TITLE_NUMBER_PR_CHANGE)</f>
        <v>403-гвс, 404-гвс, 406-гвс</v>
      </c>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2"/>
      <c r="BB33" s="42"/>
      <c r="BC33" s="473"/>
      <c r="BD33" s="117"/>
      <c r="BE33" s="117"/>
      <c r="BF33" s="117"/>
      <c r="BG33" s="117"/>
      <c r="BH33" s="117"/>
    </row>
    <row r="34" s="174" customFormat="true" ht="18.75" hidden="false" customHeight="true" outlineLevel="0" collapsed="false">
      <c r="A34" s="139"/>
      <c r="B34" s="139"/>
      <c r="C34" s="139"/>
      <c r="D34" s="139"/>
      <c r="E34" s="139"/>
      <c r="F34" s="139"/>
      <c r="G34" s="139"/>
      <c r="H34" s="139"/>
      <c r="I34" s="139"/>
      <c r="J34" s="139"/>
      <c r="K34" s="139"/>
      <c r="L34" s="417"/>
      <c r="M34" s="139"/>
      <c r="N34" s="139"/>
      <c r="O34" s="139"/>
      <c r="P34" s="139"/>
      <c r="Q34" s="139"/>
      <c r="S34" s="470" t="s">
        <v>39</v>
      </c>
      <c r="T34" s="470"/>
      <c r="U34" s="471"/>
      <c r="V34" s="472" t="str">
        <f aca="false">IF(TITLE_IST_PUB_CHANGE="",IF(TITLE_IST_PUB="","",TITLE_IST_PUB),TITLE_IST_PUB_CHANGE)</f>
        <v>официальный интернет- портал правовой информации www.pravo.gov.ru</v>
      </c>
      <c r="W34" s="472"/>
      <c r="X34" s="472"/>
      <c r="Y34" s="472"/>
      <c r="Z34" s="472"/>
      <c r="AA34" s="472"/>
      <c r="AB34" s="472"/>
      <c r="AC34" s="42"/>
      <c r="AD34" s="472" t="str">
        <f aca="false">IF(TITLE_IST_PUB_CHANGE="",IF(TITLE_IST_PUB="","",TITLE_IST_PUB),TITLE_IST_PUB_CHANGE)</f>
        <v>официальный интернет- портал правовой информации www.pravo.gov.ru</v>
      </c>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42"/>
      <c r="BB34" s="42"/>
      <c r="BC34" s="473"/>
      <c r="BD34" s="117"/>
      <c r="BE34" s="117"/>
      <c r="BF34" s="117"/>
      <c r="BG34" s="117"/>
      <c r="BH34" s="117"/>
    </row>
    <row r="35" customFormat="false" ht="14.25" hidden="true" customHeight="true" outlineLevel="0" collapsed="false">
      <c r="Q35" s="551"/>
      <c r="R35" s="467"/>
      <c r="S35" s="468"/>
      <c r="T35" s="79"/>
      <c r="U35" s="79"/>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69"/>
      <c r="AV35" s="469"/>
      <c r="AW35" s="469"/>
      <c r="AX35" s="469"/>
      <c r="AY35" s="469"/>
      <c r="AZ35" s="469"/>
      <c r="BA35" s="469"/>
    </row>
    <row r="36" s="174" customFormat="true" ht="18.75" hidden="true" customHeight="true" outlineLevel="0" collapsed="false">
      <c r="A36" s="139"/>
      <c r="B36" s="139"/>
      <c r="C36" s="139"/>
      <c r="D36" s="139"/>
      <c r="E36" s="139"/>
      <c r="F36" s="139"/>
      <c r="G36" s="139"/>
      <c r="H36" s="139"/>
      <c r="I36" s="139"/>
      <c r="J36" s="139"/>
      <c r="K36" s="139"/>
      <c r="L36" s="417"/>
      <c r="M36" s="139"/>
      <c r="N36" s="139"/>
      <c r="O36" s="139"/>
      <c r="P36" s="139"/>
      <c r="Q36" s="139"/>
      <c r="S36" s="470" t="s">
        <v>437</v>
      </c>
      <c r="T36" s="470"/>
      <c r="U36" s="471"/>
      <c r="V36" s="474" t="str">
        <f aca="false">IF(TITLE_DATE_PR_CHANGE="",IF(TITLE_DATE_PR="","",TITLE_DATE_PR),TITLE_DATE_PR_CHANGE)</f>
        <v>45279.46460648148</v>
      </c>
      <c r="W36" s="474"/>
      <c r="X36" s="474"/>
      <c r="Y36" s="474"/>
      <c r="Z36" s="474"/>
      <c r="AA36" s="474"/>
      <c r="AB36" s="474"/>
      <c r="AC36" s="42"/>
      <c r="AD36" s="474" t="str">
        <f aca="false">IF(TITLE_DATE_PR_CHANGE="",IF(TITLE_DATE_PR="","",TITLE_DATE_PR),TITLE_DATE_PR_CHANGE)</f>
        <v>45279.46460648148</v>
      </c>
      <c r="AE36" s="474"/>
      <c r="AF36" s="474"/>
      <c r="AG36" s="474"/>
      <c r="AH36" s="474"/>
      <c r="AI36" s="474"/>
      <c r="AJ36" s="474"/>
      <c r="AK36" s="474"/>
      <c r="AL36" s="474"/>
      <c r="AM36" s="474"/>
      <c r="AN36" s="474"/>
      <c r="AO36" s="474"/>
      <c r="AP36" s="474"/>
      <c r="AQ36" s="474"/>
      <c r="AR36" s="474"/>
      <c r="AS36" s="474"/>
      <c r="AT36" s="474"/>
      <c r="AU36" s="474"/>
      <c r="AV36" s="474"/>
      <c r="AW36" s="474"/>
      <c r="AX36" s="474"/>
      <c r="AY36" s="474"/>
      <c r="AZ36" s="474"/>
      <c r="BA36" s="42"/>
      <c r="BB36" s="42"/>
      <c r="BC36" s="473"/>
      <c r="BD36" s="117"/>
      <c r="BE36" s="117"/>
      <c r="BF36" s="117"/>
      <c r="BG36" s="117"/>
      <c r="BH36" s="117"/>
    </row>
    <row r="37" s="174" customFormat="true" ht="18.75" hidden="true" customHeight="true" outlineLevel="0" collapsed="false">
      <c r="A37" s="139"/>
      <c r="B37" s="139"/>
      <c r="C37" s="139"/>
      <c r="D37" s="139"/>
      <c r="E37" s="139"/>
      <c r="F37" s="139"/>
      <c r="G37" s="139"/>
      <c r="H37" s="139"/>
      <c r="I37" s="139"/>
      <c r="J37" s="139"/>
      <c r="K37" s="139"/>
      <c r="L37" s="417"/>
      <c r="M37" s="139"/>
      <c r="N37" s="139"/>
      <c r="O37" s="139"/>
      <c r="P37" s="139"/>
      <c r="Q37" s="139"/>
      <c r="S37" s="470" t="s">
        <v>438</v>
      </c>
      <c r="T37" s="470"/>
      <c r="U37" s="471"/>
      <c r="V37" s="472" t="str">
        <f aca="false">IF(TITLE_NUMBER_PR_CHANGE="",IF(TITLE_NUMBER_PR="","",TITLE_NUMBER_PR),TITLE_NUMBER_PR_CHANGE)</f>
        <v>403-гвс, 404-гвс, 406-гвс</v>
      </c>
      <c r="W37" s="472"/>
      <c r="X37" s="472"/>
      <c r="Y37" s="472"/>
      <c r="Z37" s="472"/>
      <c r="AA37" s="472"/>
      <c r="AB37" s="472"/>
      <c r="AC37" s="42"/>
      <c r="AD37" s="472" t="str">
        <f aca="false">IF(TITLE_NUMBER_PR_CHANGE="",IF(TITLE_NUMBER_PR="","",TITLE_NUMBER_PR),TITLE_NUMBER_PR_CHANGE)</f>
        <v>403-гвс, 404-гвс, 406-гвс</v>
      </c>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2"/>
      <c r="BB37" s="42"/>
      <c r="BC37" s="473"/>
      <c r="BD37" s="117"/>
      <c r="BE37" s="117"/>
      <c r="BF37" s="117"/>
      <c r="BG37" s="117"/>
      <c r="BH37" s="117"/>
    </row>
    <row r="38" s="174" customFormat="true" ht="12.8" hidden="false" customHeight="false" outlineLevel="0" collapsed="false">
      <c r="A38" s="139"/>
      <c r="B38" s="139"/>
      <c r="C38" s="139"/>
      <c r="D38" s="139"/>
      <c r="E38" s="139"/>
      <c r="F38" s="139"/>
      <c r="G38" s="139"/>
      <c r="H38" s="139"/>
      <c r="I38" s="139"/>
      <c r="J38" s="139"/>
      <c r="K38" s="139"/>
      <c r="L38" s="417"/>
      <c r="M38" s="139"/>
      <c r="N38" s="139"/>
      <c r="O38" s="139"/>
      <c r="P38" s="139"/>
      <c r="Q38" s="139"/>
      <c r="S38" s="42"/>
      <c r="T38" s="42"/>
      <c r="U38" s="127"/>
      <c r="V38" s="42"/>
      <c r="W38" s="42"/>
      <c r="X38" s="42"/>
      <c r="Y38" s="42"/>
      <c r="Z38" s="42"/>
      <c r="AA38" s="42"/>
      <c r="AB38" s="42"/>
      <c r="AC38" s="47" t="s">
        <v>441</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7" t="s">
        <v>441</v>
      </c>
      <c r="BD38" s="117"/>
      <c r="BE38" s="117"/>
      <c r="BF38" s="117"/>
      <c r="BG38" s="117"/>
      <c r="BH38" s="117"/>
    </row>
    <row r="39" customFormat="false" ht="14.25" hidden="false" customHeight="true" outlineLevel="0" collapsed="false">
      <c r="Q39" s="551"/>
      <c r="R39" s="467"/>
      <c r="S39" s="468"/>
      <c r="T39" s="79"/>
      <c r="U39" s="475"/>
      <c r="V39" s="476"/>
      <c r="W39" s="476"/>
      <c r="X39" s="476"/>
      <c r="Y39" s="476"/>
      <c r="Z39" s="476"/>
      <c r="AA39" s="476"/>
      <c r="AB39" s="476"/>
      <c r="AC39" s="476"/>
      <c r="AD39" s="476"/>
      <c r="AE39" s="476"/>
      <c r="AF39" s="476"/>
      <c r="AG39" s="476"/>
      <c r="AH39" s="476"/>
      <c r="AI39" s="476"/>
      <c r="AJ39" s="476"/>
      <c r="AK39" s="476"/>
      <c r="AL39" s="476"/>
      <c r="AM39" s="476"/>
      <c r="AN39" s="476"/>
      <c r="AO39" s="476"/>
      <c r="AP39" s="476"/>
      <c r="AQ39" s="476"/>
      <c r="AR39" s="476"/>
      <c r="AS39" s="476"/>
      <c r="AT39" s="476"/>
      <c r="AU39" s="476"/>
      <c r="AV39" s="476"/>
      <c r="AW39" s="476"/>
      <c r="AX39" s="476"/>
      <c r="AY39" s="476"/>
      <c r="AZ39" s="476"/>
      <c r="BA39" s="476"/>
    </row>
    <row r="40" customFormat="false" ht="14.25" hidden="false" customHeight="true" outlineLevel="0" collapsed="false">
      <c r="Q40" s="551"/>
      <c r="R40" s="467"/>
      <c r="S40" s="133" t="s">
        <v>316</v>
      </c>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t="s">
        <v>317</v>
      </c>
    </row>
    <row r="41" customFormat="false" ht="14.25" hidden="false" customHeight="true" outlineLevel="0" collapsed="false">
      <c r="Q41" s="551"/>
      <c r="R41" s="467"/>
      <c r="S41" s="419" t="s">
        <v>84</v>
      </c>
      <c r="T41" s="394" t="s">
        <v>521</v>
      </c>
      <c r="U41" s="478"/>
      <c r="V41" s="300" t="s">
        <v>443</v>
      </c>
      <c r="W41" s="300"/>
      <c r="X41" s="300"/>
      <c r="Y41" s="300"/>
      <c r="Z41" s="300"/>
      <c r="AA41" s="300"/>
      <c r="AB41" s="300"/>
      <c r="AC41" s="394" t="s">
        <v>444</v>
      </c>
      <c r="AD41" s="300" t="s">
        <v>538</v>
      </c>
      <c r="AE41" s="300"/>
      <c r="AF41" s="300"/>
      <c r="AG41" s="300"/>
      <c r="AH41" s="300" t="s">
        <v>539</v>
      </c>
      <c r="AI41" s="300"/>
      <c r="AJ41" s="300"/>
      <c r="AK41" s="300"/>
      <c r="AL41" s="300" t="s">
        <v>540</v>
      </c>
      <c r="AM41" s="300"/>
      <c r="AN41" s="300"/>
      <c r="AO41" s="300"/>
      <c r="AP41" s="300" t="s">
        <v>525</v>
      </c>
      <c r="AQ41" s="300"/>
      <c r="AR41" s="300"/>
      <c r="AS41" s="300"/>
      <c r="AT41" s="300" t="s">
        <v>443</v>
      </c>
      <c r="AU41" s="300"/>
      <c r="AV41" s="300"/>
      <c r="AW41" s="300"/>
      <c r="AX41" s="300"/>
      <c r="AY41" s="300"/>
      <c r="AZ41" s="300"/>
      <c r="BA41" s="394" t="s">
        <v>444</v>
      </c>
      <c r="BB41" s="479" t="s">
        <v>446</v>
      </c>
      <c r="BC41" s="133"/>
    </row>
    <row r="42" customFormat="false" ht="33.75" hidden="false" customHeight="true" outlineLevel="0" collapsed="false">
      <c r="Q42" s="551"/>
      <c r="R42" s="467"/>
      <c r="S42" s="419"/>
      <c r="T42" s="394"/>
      <c r="U42" s="480"/>
      <c r="V42" s="133" t="s">
        <v>526</v>
      </c>
      <c r="W42" s="133"/>
      <c r="X42" s="133" t="s">
        <v>527</v>
      </c>
      <c r="Y42" s="133"/>
      <c r="Z42" s="133" t="s">
        <v>528</v>
      </c>
      <c r="AA42" s="133"/>
      <c r="AB42" s="133"/>
      <c r="AC42" s="394"/>
      <c r="AD42" s="300"/>
      <c r="AE42" s="300"/>
      <c r="AF42" s="300"/>
      <c r="AG42" s="300"/>
      <c r="AH42" s="300"/>
      <c r="AI42" s="300"/>
      <c r="AJ42" s="300"/>
      <c r="AK42" s="300"/>
      <c r="AL42" s="300"/>
      <c r="AM42" s="300"/>
      <c r="AN42" s="300"/>
      <c r="AO42" s="300"/>
      <c r="AP42" s="300"/>
      <c r="AQ42" s="300"/>
      <c r="AR42" s="300"/>
      <c r="AS42" s="300"/>
      <c r="AT42" s="133" t="s">
        <v>541</v>
      </c>
      <c r="AU42" s="133"/>
      <c r="AV42" s="133" t="s">
        <v>542</v>
      </c>
      <c r="AW42" s="133"/>
      <c r="AX42" s="133" t="s">
        <v>528</v>
      </c>
      <c r="AY42" s="133"/>
      <c r="AZ42" s="133"/>
      <c r="BA42" s="394"/>
      <c r="BB42" s="479"/>
      <c r="BC42" s="133"/>
    </row>
    <row r="43" customFormat="false" ht="14.25" hidden="false" customHeight="true" outlineLevel="0" collapsed="false">
      <c r="Q43" s="551"/>
      <c r="R43" s="467"/>
      <c r="S43" s="419"/>
      <c r="T43" s="394"/>
      <c r="U43" s="480"/>
      <c r="V43" s="133"/>
      <c r="W43" s="133"/>
      <c r="X43" s="133"/>
      <c r="Y43" s="133"/>
      <c r="Z43" s="133"/>
      <c r="AA43" s="133"/>
      <c r="AB43" s="133"/>
      <c r="AC43" s="394"/>
      <c r="AD43" s="300"/>
      <c r="AE43" s="300"/>
      <c r="AF43" s="300"/>
      <c r="AG43" s="300"/>
      <c r="AH43" s="300"/>
      <c r="AI43" s="300"/>
      <c r="AJ43" s="300"/>
      <c r="AK43" s="300"/>
      <c r="AL43" s="300"/>
      <c r="AM43" s="300"/>
      <c r="AN43" s="300"/>
      <c r="AO43" s="300"/>
      <c r="AP43" s="300"/>
      <c r="AQ43" s="300"/>
      <c r="AR43" s="300"/>
      <c r="AS43" s="300"/>
      <c r="AT43" s="133"/>
      <c r="AU43" s="133"/>
      <c r="AV43" s="133"/>
      <c r="AW43" s="133"/>
      <c r="AX43" s="133"/>
      <c r="AY43" s="133"/>
      <c r="AZ43" s="133"/>
      <c r="BA43" s="394"/>
      <c r="BB43" s="479"/>
      <c r="BC43" s="133"/>
    </row>
    <row r="44" customFormat="false" ht="14.25" hidden="false" customHeight="true" outlineLevel="0" collapsed="false">
      <c r="A44" s="139"/>
      <c r="B44" s="139" t="s">
        <v>142</v>
      </c>
      <c r="C44" s="139" t="s">
        <v>143</v>
      </c>
      <c r="D44" s="139" t="s">
        <v>144</v>
      </c>
      <c r="E44" s="417" t="s">
        <v>451</v>
      </c>
      <c r="F44" s="417" t="s">
        <v>452</v>
      </c>
      <c r="G44" s="417" t="s">
        <v>453</v>
      </c>
      <c r="H44" s="417" t="s">
        <v>454</v>
      </c>
      <c r="I44" s="417" t="s">
        <v>455</v>
      </c>
      <c r="J44" s="417" t="s">
        <v>456</v>
      </c>
      <c r="K44" s="417" t="s">
        <v>457</v>
      </c>
      <c r="L44" s="417" t="s">
        <v>432</v>
      </c>
      <c r="Q44" s="551"/>
      <c r="R44" s="467"/>
      <c r="S44" s="419"/>
      <c r="T44" s="394"/>
      <c r="U44" s="481"/>
      <c r="V44" s="394" t="s">
        <v>492</v>
      </c>
      <c r="W44" s="394" t="s">
        <v>493</v>
      </c>
      <c r="X44" s="394" t="s">
        <v>492</v>
      </c>
      <c r="Y44" s="394" t="s">
        <v>493</v>
      </c>
      <c r="Z44" s="184" t="s">
        <v>460</v>
      </c>
      <c r="AA44" s="184" t="s">
        <v>461</v>
      </c>
      <c r="AB44" s="184"/>
      <c r="AC44" s="394"/>
      <c r="AD44" s="300"/>
      <c r="AE44" s="300"/>
      <c r="AF44" s="300"/>
      <c r="AG44" s="300"/>
      <c r="AH44" s="300"/>
      <c r="AI44" s="300"/>
      <c r="AJ44" s="300"/>
      <c r="AK44" s="300"/>
      <c r="AL44" s="300"/>
      <c r="AM44" s="300"/>
      <c r="AN44" s="300"/>
      <c r="AO44" s="300"/>
      <c r="AP44" s="300"/>
      <c r="AQ44" s="300"/>
      <c r="AR44" s="300"/>
      <c r="AS44" s="300"/>
      <c r="AT44" s="394" t="s">
        <v>492</v>
      </c>
      <c r="AU44" s="394" t="s">
        <v>493</v>
      </c>
      <c r="AV44" s="394" t="s">
        <v>492</v>
      </c>
      <c r="AW44" s="394" t="s">
        <v>493</v>
      </c>
      <c r="AX44" s="184" t="s">
        <v>460</v>
      </c>
      <c r="AY44" s="184" t="s">
        <v>461</v>
      </c>
      <c r="AZ44" s="184"/>
      <c r="BA44" s="394"/>
      <c r="BB44" s="479"/>
      <c r="BC44" s="133"/>
    </row>
    <row r="45" s="119" customFormat="true" ht="11.25" hidden="true" customHeight="true" outlineLevel="0" collapsed="false">
      <c r="A45" s="139"/>
      <c r="B45" s="139"/>
      <c r="C45" s="139"/>
      <c r="D45" s="139"/>
      <c r="E45" s="139"/>
      <c r="F45" s="139"/>
      <c r="G45" s="139"/>
      <c r="H45" s="139"/>
      <c r="I45" s="139"/>
      <c r="J45" s="139"/>
      <c r="K45" s="139"/>
      <c r="L45" s="417"/>
      <c r="M45" s="51"/>
      <c r="N45" s="51"/>
      <c r="O45" s="51"/>
      <c r="P45" s="510"/>
      <c r="Q45" s="484"/>
      <c r="R45" s="484" t="n">
        <v>1</v>
      </c>
      <c r="S45" s="485" t="s">
        <v>117</v>
      </c>
      <c r="T45" s="486" t="s">
        <v>99</v>
      </c>
      <c r="U45" s="487" t="str">
        <f aca="true">OFFSET(U45,0,-1)</f>
        <v>2</v>
      </c>
      <c r="V45" s="488" t="n">
        <f aca="true">OFFSET(V45,0,-1)+1</f>
        <v>3</v>
      </c>
      <c r="W45" s="488" t="n">
        <f aca="true">OFFSET(W45,0,-1)+1</f>
        <v>4</v>
      </c>
      <c r="X45" s="488" t="n">
        <f aca="true">OFFSET(X45,0,-1)+1</f>
        <v>5</v>
      </c>
      <c r="Y45" s="488" t="n">
        <f aca="true">OFFSET(Y45,0,-1)+1</f>
        <v>6</v>
      </c>
      <c r="Z45" s="488" t="n">
        <f aca="true">OFFSET(Z45,0,-1)+1</f>
        <v>7</v>
      </c>
      <c r="AA45" s="488" t="n">
        <f aca="true">OFFSET(AA45,0,-1)+1</f>
        <v>8</v>
      </c>
      <c r="AB45" s="488"/>
      <c r="AC45" s="488" t="n">
        <f aca="true">OFFSET(AC45,0,-2)+1</f>
        <v>9</v>
      </c>
      <c r="AD45" s="488" t="n">
        <f aca="true">OFFSET(AD45,0,-1)+1</f>
        <v>10</v>
      </c>
      <c r="AE45" s="488"/>
      <c r="AF45" s="488"/>
      <c r="AG45" s="488"/>
      <c r="AH45" s="488"/>
      <c r="AI45" s="488"/>
      <c r="AJ45" s="488"/>
      <c r="AK45" s="488"/>
      <c r="AL45" s="488"/>
      <c r="AM45" s="488"/>
      <c r="AN45" s="488"/>
      <c r="AO45" s="488"/>
      <c r="AP45" s="488"/>
      <c r="AQ45" s="488"/>
      <c r="AR45" s="488"/>
      <c r="AS45" s="488"/>
      <c r="AT45" s="488"/>
      <c r="AU45" s="488"/>
      <c r="AV45" s="488"/>
      <c r="AW45" s="488" t="n">
        <f aca="true">OFFSET(AW45,0,-1)+1</f>
        <v>1</v>
      </c>
      <c r="AX45" s="488" t="n">
        <f aca="true">OFFSET(AX45,0,-1)+1</f>
        <v>2</v>
      </c>
      <c r="AY45" s="488" t="n">
        <f aca="true">OFFSET(AY45,0,-1)+1</f>
        <v>3</v>
      </c>
      <c r="AZ45" s="488"/>
      <c r="BA45" s="488" t="n">
        <f aca="true">OFFSET(BA45,0,-2)+1</f>
        <v>4</v>
      </c>
      <c r="BB45" s="487" t="n">
        <f aca="true">OFFSET(BB45,0,-1)</f>
        <v>4</v>
      </c>
      <c r="BC45" s="488" t="n">
        <f aca="true">OFFSET(BC45,0,-1)+1</f>
        <v>5</v>
      </c>
      <c r="BD45" s="47"/>
      <c r="BE45" s="47"/>
      <c r="BF45" s="47"/>
      <c r="BG45" s="47"/>
      <c r="BH45" s="47"/>
    </row>
    <row r="46" customFormat="false" ht="21" hidden="false" customHeight="true" outlineLevel="0" collapsed="false">
      <c r="A46" s="415" t="s">
        <v>292</v>
      </c>
      <c r="B46" s="415"/>
      <c r="C46" s="415"/>
      <c r="D46" s="415"/>
      <c r="E46" s="416" t="n">
        <v>1</v>
      </c>
      <c r="F46" s="415"/>
      <c r="G46" s="415"/>
      <c r="H46" s="415"/>
      <c r="I46" s="415"/>
      <c r="J46" s="415"/>
      <c r="K46" s="415"/>
      <c r="L46" s="417"/>
      <c r="M46" s="40"/>
      <c r="N46" s="40"/>
      <c r="O46" s="40"/>
      <c r="Q46" s="54"/>
      <c r="R46" s="418"/>
      <c r="S46" s="419" t="n">
        <f aca="false">INDEX(PT_DIFFERENTIATION_NUM_NTAR,MATCH(A46,PT_DIFFERENTIATION_NTAR_ID,0))</f>
        <v>0</v>
      </c>
      <c r="T46" s="420" t="s">
        <v>130</v>
      </c>
      <c r="U46" s="421"/>
      <c r="V46" s="523"/>
      <c r="W46" s="523"/>
      <c r="X46" s="523"/>
      <c r="Y46" s="523"/>
      <c r="Z46" s="523"/>
      <c r="AA46" s="523"/>
      <c r="AB46" s="523"/>
      <c r="AC46" s="523"/>
      <c r="AD46" s="423" t="str">
        <f aca="false">INDEX(PT_DIFFERENTIATION_NTAR,MATCH(A46,PT_DIFFERENTIATION_NTAR_ID,0))</f>
        <v/>
      </c>
      <c r="AE46" s="423"/>
      <c r="AF46" s="423"/>
      <c r="AG46" s="423"/>
      <c r="AH46" s="423"/>
      <c r="AI46" s="423"/>
      <c r="AJ46" s="423"/>
      <c r="AK46" s="423"/>
      <c r="AL46" s="423"/>
      <c r="AM46" s="423"/>
      <c r="AN46" s="423"/>
      <c r="AO46" s="423"/>
      <c r="AP46" s="423"/>
      <c r="AQ46" s="423"/>
      <c r="AR46" s="423"/>
      <c r="AS46" s="423"/>
      <c r="AT46" s="423"/>
      <c r="AU46" s="423"/>
      <c r="AV46" s="423"/>
      <c r="AW46" s="423"/>
      <c r="AX46" s="423"/>
      <c r="AY46" s="423"/>
      <c r="AZ46" s="423"/>
      <c r="BA46" s="423"/>
      <c r="BB46" s="423"/>
      <c r="BC46" s="42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7"/>
      <c r="BF46" s="117" t="str">
        <f aca="false">IF(T46="","",T46)</f>
        <v>Наименование тарифа</v>
      </c>
      <c r="BG46" s="117"/>
      <c r="BH46" s="117"/>
    </row>
    <row r="47" customFormat="false" ht="21" hidden="false" customHeight="true" outlineLevel="0" collapsed="false">
      <c r="A47" s="415" t="s">
        <v>292</v>
      </c>
      <c r="B47" s="415" t="s">
        <v>293</v>
      </c>
      <c r="C47" s="415"/>
      <c r="D47" s="415"/>
      <c r="E47" s="416"/>
      <c r="F47" s="416" t="n">
        <v>1</v>
      </c>
      <c r="G47" s="415"/>
      <c r="H47" s="415"/>
      <c r="I47" s="415"/>
      <c r="J47" s="415"/>
      <c r="K47" s="415"/>
      <c r="L47" s="417"/>
      <c r="M47" s="40"/>
      <c r="N47" s="40"/>
      <c r="O47" s="40"/>
      <c r="P47" s="44"/>
      <c r="Q47" s="524"/>
      <c r="R47" s="426"/>
      <c r="S47" s="419" t="str">
        <f aca="false">INDEX(PT_DIFFERENTIATION_NUM_TER,MATCH(B47,PT_DIFFERENTIATION_TER_ID,0))</f>
        <v>.</v>
      </c>
      <c r="T47" s="427" t="s">
        <v>413</v>
      </c>
      <c r="U47" s="421"/>
      <c r="V47" s="523"/>
      <c r="W47" s="523"/>
      <c r="X47" s="523"/>
      <c r="Y47" s="523"/>
      <c r="Z47" s="523"/>
      <c r="AA47" s="523"/>
      <c r="AB47" s="523"/>
      <c r="AC47" s="523"/>
      <c r="AD47" s="423" t="str">
        <f aca="false">INDEX(PT_DIFFERENTIATION_TER,MATCH(B47,PT_DIFFERENTIATION_TER_ID,0))</f>
        <v/>
      </c>
      <c r="AE47" s="423"/>
      <c r="AF47" s="423"/>
      <c r="AG47" s="423"/>
      <c r="AH47" s="423"/>
      <c r="AI47" s="423"/>
      <c r="AJ47" s="423"/>
      <c r="AK47" s="423"/>
      <c r="AL47" s="423"/>
      <c r="AM47" s="423"/>
      <c r="AN47" s="423"/>
      <c r="AO47" s="423"/>
      <c r="AP47" s="423"/>
      <c r="AQ47" s="423"/>
      <c r="AR47" s="423"/>
      <c r="AS47" s="423"/>
      <c r="AT47" s="423"/>
      <c r="AU47" s="423"/>
      <c r="AV47" s="423"/>
      <c r="AW47" s="423"/>
      <c r="AX47" s="423"/>
      <c r="AY47" s="423"/>
      <c r="AZ47" s="423"/>
      <c r="BA47" s="423"/>
      <c r="BB47" s="423"/>
      <c r="BC47" s="424" t="s">
        <v>414</v>
      </c>
      <c r="BE47" s="117"/>
      <c r="BF47" s="117" t="str">
        <f aca="false">IF(T47="","",T47)</f>
        <v>Территория действия тарифа</v>
      </c>
      <c r="BG47" s="117"/>
      <c r="BH47" s="117"/>
    </row>
    <row r="48" customFormat="false" ht="33.75" hidden="false" customHeight="true" outlineLevel="0" collapsed="false">
      <c r="A48" s="415" t="s">
        <v>292</v>
      </c>
      <c r="B48" s="415" t="s">
        <v>293</v>
      </c>
      <c r="C48" s="415" t="s">
        <v>294</v>
      </c>
      <c r="D48" s="415"/>
      <c r="E48" s="416"/>
      <c r="F48" s="416"/>
      <c r="G48" s="416" t="n">
        <v>1</v>
      </c>
      <c r="H48" s="415"/>
      <c r="I48" s="415"/>
      <c r="J48" s="415"/>
      <c r="K48" s="415"/>
      <c r="L48" s="417"/>
      <c r="M48" s="40"/>
      <c r="N48" s="40"/>
      <c r="O48" s="40"/>
      <c r="P48" s="126"/>
      <c r="Q48" s="524"/>
      <c r="R48" s="426"/>
      <c r="S48" s="419" t="str">
        <f aca="false">INDEX(PT_DIFFERENTIATION_NUM_CS,MATCH(C48,PT_DIFFERENTIATION_CS_ID,0))</f>
        <v>..</v>
      </c>
      <c r="T48" s="429" t="s">
        <v>530</v>
      </c>
      <c r="U48" s="421"/>
      <c r="V48" s="523"/>
      <c r="W48" s="523"/>
      <c r="X48" s="523"/>
      <c r="Y48" s="523"/>
      <c r="Z48" s="523"/>
      <c r="AA48" s="523"/>
      <c r="AB48" s="523"/>
      <c r="AC48" s="523"/>
      <c r="AD48" s="423" t="str">
        <f aca="false">INDEX(PT_DIFFERENTIATION_CS,MATCH(C48,PT_DIFFERENTIATION_CS_ID,0))</f>
        <v/>
      </c>
      <c r="AE48" s="423"/>
      <c r="AF48" s="423"/>
      <c r="AG48" s="423"/>
      <c r="AH48" s="423"/>
      <c r="AI48" s="423"/>
      <c r="AJ48" s="423"/>
      <c r="AK48" s="423"/>
      <c r="AL48" s="423"/>
      <c r="AM48" s="423"/>
      <c r="AN48" s="423"/>
      <c r="AO48" s="423"/>
      <c r="AP48" s="423"/>
      <c r="AQ48" s="423"/>
      <c r="AR48" s="423"/>
      <c r="AS48" s="423"/>
      <c r="AT48" s="423"/>
      <c r="AU48" s="423"/>
      <c r="AV48" s="423"/>
      <c r="AW48" s="423"/>
      <c r="AX48" s="423"/>
      <c r="AY48" s="423"/>
      <c r="AZ48" s="423"/>
      <c r="BA48" s="423"/>
      <c r="BB48" s="423"/>
      <c r="BC48" s="424" t="s">
        <v>531</v>
      </c>
      <c r="BE48" s="117"/>
      <c r="BF48" s="117" t="str">
        <f aca="false">IF(T48="","",T48)</f>
        <v>Наименование централизованной системы водоотведения</v>
      </c>
      <c r="BG48" s="117"/>
      <c r="BH48" s="117"/>
    </row>
    <row r="49" s="47" customFormat="true" ht="12.8" hidden="false" customHeight="false" outlineLevel="0" collapsed="false">
      <c r="A49" s="121" t="s">
        <v>292</v>
      </c>
      <c r="B49" s="121" t="s">
        <v>293</v>
      </c>
      <c r="C49" s="121" t="s">
        <v>294</v>
      </c>
      <c r="D49" s="121" t="s">
        <v>543</v>
      </c>
      <c r="E49" s="416"/>
      <c r="F49" s="416"/>
      <c r="G49" s="416"/>
      <c r="H49" s="416" t="n">
        <v>1</v>
      </c>
      <c r="I49" s="121"/>
      <c r="J49" s="121"/>
      <c r="K49" s="121"/>
      <c r="L49" s="191"/>
      <c r="M49" s="46"/>
      <c r="N49" s="46"/>
      <c r="O49" s="46"/>
      <c r="P49" s="581"/>
      <c r="Q49" s="582"/>
      <c r="R49" s="435"/>
      <c r="S49" s="305"/>
      <c r="T49" s="583"/>
      <c r="U49" s="503"/>
      <c r="V49" s="525"/>
      <c r="W49" s="525"/>
      <c r="X49" s="525"/>
      <c r="Y49" s="525"/>
      <c r="Z49" s="525"/>
      <c r="AA49" s="525"/>
      <c r="AB49" s="525"/>
      <c r="AC49" s="525"/>
      <c r="AD49" s="504"/>
      <c r="AE49" s="504"/>
      <c r="AF49" s="504"/>
      <c r="AG49" s="504"/>
      <c r="AH49" s="504"/>
      <c r="AI49" s="504"/>
      <c r="AJ49" s="504"/>
      <c r="AK49" s="504"/>
      <c r="AL49" s="504"/>
      <c r="AM49" s="504"/>
      <c r="AN49" s="504"/>
      <c r="AO49" s="504"/>
      <c r="AP49" s="504"/>
      <c r="AQ49" s="504"/>
      <c r="AR49" s="504"/>
      <c r="AS49" s="504"/>
      <c r="AT49" s="504"/>
      <c r="AU49" s="504"/>
      <c r="AV49" s="504"/>
      <c r="AW49" s="504"/>
      <c r="AX49" s="504"/>
      <c r="AY49" s="504"/>
      <c r="AZ49" s="504"/>
      <c r="BA49" s="504"/>
      <c r="BB49" s="504"/>
      <c r="BC49" s="505" t="s">
        <v>418</v>
      </c>
      <c r="BE49" s="117"/>
      <c r="BF49" s="117" t="str">
        <f aca="false">IF(T49="","",T49)</f>
        <v/>
      </c>
      <c r="BG49" s="117"/>
      <c r="BH49" s="117"/>
    </row>
    <row r="50" s="47" customFormat="true" ht="12.8" hidden="false" customHeight="false" outlineLevel="0" collapsed="false">
      <c r="A50" s="121" t="s">
        <v>292</v>
      </c>
      <c r="B50" s="121" t="s">
        <v>293</v>
      </c>
      <c r="C50" s="121" t="s">
        <v>294</v>
      </c>
      <c r="D50" s="121" t="s">
        <v>543</v>
      </c>
      <c r="E50" s="416"/>
      <c r="F50" s="416"/>
      <c r="G50" s="416"/>
      <c r="H50" s="416"/>
      <c r="I50" s="431" t="str">
        <f aca="false">S49&amp;".1"</f>
        <v>.1</v>
      </c>
      <c r="J50" s="121"/>
      <c r="K50" s="121"/>
      <c r="L50" s="191" t="s">
        <v>419</v>
      </c>
      <c r="M50" s="510"/>
      <c r="N50" s="510"/>
      <c r="O50" s="510"/>
      <c r="P50" s="120" t="n">
        <v>1</v>
      </c>
      <c r="Q50" s="120"/>
      <c r="R50" s="432"/>
      <c r="S50" s="305"/>
      <c r="T50" s="502"/>
      <c r="U50" s="503"/>
      <c r="V50" s="525"/>
      <c r="W50" s="525"/>
      <c r="X50" s="525"/>
      <c r="Y50" s="525"/>
      <c r="Z50" s="525"/>
      <c r="AA50" s="525"/>
      <c r="AB50" s="525"/>
      <c r="AC50" s="525"/>
      <c r="AD50" s="504"/>
      <c r="AE50" s="504"/>
      <c r="AF50" s="504"/>
      <c r="AG50" s="504"/>
      <c r="AH50" s="504"/>
      <c r="AI50" s="504"/>
      <c r="AJ50" s="504"/>
      <c r="AK50" s="504"/>
      <c r="AL50" s="504"/>
      <c r="AM50" s="504"/>
      <c r="AN50" s="504"/>
      <c r="AO50" s="504"/>
      <c r="AP50" s="504"/>
      <c r="AQ50" s="504"/>
      <c r="AR50" s="504"/>
      <c r="AS50" s="504"/>
      <c r="AT50" s="504"/>
      <c r="AU50" s="504"/>
      <c r="AV50" s="504"/>
      <c r="AW50" s="504"/>
      <c r="AX50" s="504"/>
      <c r="AY50" s="504"/>
      <c r="AZ50" s="504"/>
      <c r="BA50" s="504"/>
      <c r="BB50" s="504"/>
      <c r="BC50" s="505"/>
      <c r="BE50" s="117"/>
      <c r="BF50" s="117" t="str">
        <f aca="false">IF(T50="","",T50)</f>
        <v/>
      </c>
      <c r="BG50" s="117"/>
      <c r="BH50" s="117"/>
    </row>
    <row r="51" s="47" customFormat="true" ht="12.8" hidden="false" customHeight="false" outlineLevel="0" collapsed="false">
      <c r="A51" s="121" t="s">
        <v>292</v>
      </c>
      <c r="B51" s="121" t="s">
        <v>293</v>
      </c>
      <c r="C51" s="121" t="s">
        <v>294</v>
      </c>
      <c r="D51" s="121" t="s">
        <v>543</v>
      </c>
      <c r="E51" s="416"/>
      <c r="F51" s="416"/>
      <c r="G51" s="416"/>
      <c r="H51" s="416"/>
      <c r="I51" s="431"/>
      <c r="J51" s="431" t="str">
        <f aca="false">S49&amp;".1"</f>
        <v>.1</v>
      </c>
      <c r="K51" s="121"/>
      <c r="L51" s="191"/>
      <c r="M51" s="510"/>
      <c r="N51" s="510"/>
      <c r="O51" s="510"/>
      <c r="P51" s="120"/>
      <c r="Q51" s="120" t="n">
        <v>1</v>
      </c>
      <c r="R51" s="435"/>
      <c r="S51" s="305"/>
      <c r="T51" s="526"/>
      <c r="U51" s="503"/>
      <c r="V51" s="525"/>
      <c r="W51" s="525"/>
      <c r="X51" s="525"/>
      <c r="Y51" s="525"/>
      <c r="Z51" s="525"/>
      <c r="AA51" s="525"/>
      <c r="AB51" s="525"/>
      <c r="AC51" s="525"/>
      <c r="AD51" s="504"/>
      <c r="AE51" s="504"/>
      <c r="AF51" s="504"/>
      <c r="AG51" s="504"/>
      <c r="AH51" s="504"/>
      <c r="AI51" s="504"/>
      <c r="AJ51" s="504"/>
      <c r="AK51" s="504"/>
      <c r="AL51" s="504"/>
      <c r="AM51" s="504"/>
      <c r="AN51" s="504"/>
      <c r="AO51" s="504"/>
      <c r="AP51" s="504"/>
      <c r="AQ51" s="504"/>
      <c r="AR51" s="504"/>
      <c r="AS51" s="504"/>
      <c r="AT51" s="504"/>
      <c r="AU51" s="504"/>
      <c r="AV51" s="504"/>
      <c r="AW51" s="504"/>
      <c r="AX51" s="504"/>
      <c r="AY51" s="504"/>
      <c r="AZ51" s="504"/>
      <c r="BA51" s="504"/>
      <c r="BB51" s="504"/>
      <c r="BC51" s="505"/>
      <c r="BE51" s="117"/>
      <c r="BF51" s="117" t="str">
        <f aca="false">IF(T51="","",T51)</f>
        <v/>
      </c>
      <c r="BG51" s="117"/>
      <c r="BH51" s="117"/>
    </row>
    <row r="52" customFormat="false" ht="11.25" hidden="false" customHeight="true" outlineLevel="0" collapsed="false">
      <c r="A52" s="415" t="s">
        <v>292</v>
      </c>
      <c r="B52" s="415" t="s">
        <v>293</v>
      </c>
      <c r="C52" s="415" t="s">
        <v>294</v>
      </c>
      <c r="D52" s="415" t="s">
        <v>543</v>
      </c>
      <c r="E52" s="416"/>
      <c r="F52" s="416"/>
      <c r="G52" s="416"/>
      <c r="H52" s="416"/>
      <c r="I52" s="431"/>
      <c r="J52" s="431"/>
      <c r="K52" s="431" t="str">
        <f aca="false">S48&amp;".1"</f>
        <v>...1</v>
      </c>
      <c r="L52" s="417"/>
      <c r="P52" s="120"/>
      <c r="Q52" s="120"/>
      <c r="R52" s="435" t="n">
        <v>1</v>
      </c>
      <c r="S52" s="477" t="str">
        <f aca="false">$K52</f>
        <v>...1</v>
      </c>
      <c r="T52" s="562"/>
      <c r="U52" s="421"/>
      <c r="V52" s="438"/>
      <c r="W52" s="440"/>
      <c r="X52" s="438"/>
      <c r="Y52" s="440"/>
      <c r="Z52" s="441"/>
      <c r="AA52" s="203" t="s">
        <v>63</v>
      </c>
      <c r="AB52" s="441"/>
      <c r="AC52" s="203" t="s">
        <v>63</v>
      </c>
      <c r="AD52" s="203" t="s">
        <v>63</v>
      </c>
      <c r="AE52" s="529"/>
      <c r="AF52" s="301" t="n">
        <v>1</v>
      </c>
      <c r="AG52" s="580"/>
      <c r="AH52" s="203" t="s">
        <v>63</v>
      </c>
      <c r="AI52" s="529"/>
      <c r="AJ52" s="301" t="n">
        <v>1</v>
      </c>
      <c r="AK52" s="584"/>
      <c r="AL52" s="203" t="s">
        <v>63</v>
      </c>
      <c r="AM52" s="269"/>
      <c r="AN52" s="301" t="n">
        <v>1</v>
      </c>
      <c r="AO52" s="585"/>
      <c r="AP52" s="586" t="s">
        <v>63</v>
      </c>
      <c r="AQ52" s="530"/>
      <c r="AR52" s="301" t="n">
        <v>1</v>
      </c>
      <c r="AS52" s="83"/>
      <c r="AT52" s="438"/>
      <c r="AU52" s="440"/>
      <c r="AV52" s="438"/>
      <c r="AW52" s="440"/>
      <c r="AX52" s="441"/>
      <c r="AY52" s="203" t="s">
        <v>63</v>
      </c>
      <c r="AZ52" s="441"/>
      <c r="BA52" s="203" t="s">
        <v>63</v>
      </c>
      <c r="BB52" s="489"/>
      <c r="BC52" s="442" t="s">
        <v>515</v>
      </c>
      <c r="BE52" s="117"/>
      <c r="BF52" s="117" t="str">
        <f aca="false">IF(T52="","",T52)</f>
        <v/>
      </c>
      <c r="BG52" s="117"/>
      <c r="BH52" s="117"/>
    </row>
    <row r="53" customFormat="false" ht="11.25" hidden="false" customHeight="true" outlineLevel="0" collapsed="false">
      <c r="A53" s="415"/>
      <c r="B53" s="415"/>
      <c r="C53" s="415"/>
      <c r="D53" s="415"/>
      <c r="E53" s="416"/>
      <c r="F53" s="416"/>
      <c r="G53" s="416"/>
      <c r="H53" s="416"/>
      <c r="I53" s="431"/>
      <c r="J53" s="431"/>
      <c r="K53" s="431"/>
      <c r="L53" s="417"/>
      <c r="P53" s="120"/>
      <c r="Q53" s="120"/>
      <c r="R53" s="435"/>
      <c r="S53" s="477"/>
      <c r="T53" s="562"/>
      <c r="U53" s="421"/>
      <c r="V53" s="519"/>
      <c r="W53" s="533"/>
      <c r="X53" s="519"/>
      <c r="Y53" s="533"/>
      <c r="Z53" s="519"/>
      <c r="AA53" s="519"/>
      <c r="AB53" s="519"/>
      <c r="AC53" s="519"/>
      <c r="AD53" s="203"/>
      <c r="AE53" s="529"/>
      <c r="AF53" s="301"/>
      <c r="AG53" s="580"/>
      <c r="AH53" s="203"/>
      <c r="AI53" s="529"/>
      <c r="AJ53" s="301"/>
      <c r="AK53" s="584"/>
      <c r="AL53" s="203"/>
      <c r="AM53" s="269"/>
      <c r="AN53" s="301"/>
      <c r="AO53" s="585"/>
      <c r="AP53" s="586"/>
      <c r="AQ53" s="532"/>
      <c r="AR53" s="167"/>
      <c r="AS53" s="167" t="s">
        <v>516</v>
      </c>
      <c r="AT53" s="519"/>
      <c r="AU53" s="533"/>
      <c r="AV53" s="519"/>
      <c r="AW53" s="533"/>
      <c r="AX53" s="519"/>
      <c r="AY53" s="519"/>
      <c r="AZ53" s="519"/>
      <c r="BA53" s="519"/>
      <c r="BB53" s="531"/>
      <c r="BC53" s="442"/>
      <c r="BE53" s="117"/>
      <c r="BF53" s="117"/>
      <c r="BG53" s="117"/>
      <c r="BH53" s="117"/>
    </row>
    <row r="54" customFormat="false" ht="11.25" hidden="false" customHeight="true" outlineLevel="0" collapsed="false">
      <c r="A54" s="415" t="s">
        <v>292</v>
      </c>
      <c r="B54" s="415"/>
      <c r="C54" s="415"/>
      <c r="D54" s="415"/>
      <c r="E54" s="416"/>
      <c r="F54" s="416"/>
      <c r="G54" s="416"/>
      <c r="H54" s="416"/>
      <c r="I54" s="431"/>
      <c r="J54" s="431"/>
      <c r="K54" s="431"/>
      <c r="L54" s="417"/>
      <c r="P54" s="120"/>
      <c r="Q54" s="120"/>
      <c r="R54" s="435"/>
      <c r="S54" s="477"/>
      <c r="T54" s="562"/>
      <c r="U54" s="421"/>
      <c r="V54" s="519"/>
      <c r="W54" s="533"/>
      <c r="X54" s="519"/>
      <c r="Y54" s="533"/>
      <c r="Z54" s="519"/>
      <c r="AA54" s="519"/>
      <c r="AB54" s="519"/>
      <c r="AC54" s="519"/>
      <c r="AD54" s="203"/>
      <c r="AE54" s="529"/>
      <c r="AF54" s="301"/>
      <c r="AG54" s="580"/>
      <c r="AH54" s="203"/>
      <c r="AI54" s="529"/>
      <c r="AJ54" s="301"/>
      <c r="AK54" s="584"/>
      <c r="AL54" s="203"/>
      <c r="AM54" s="532"/>
      <c r="AN54" s="587"/>
      <c r="AO54" s="587" t="s">
        <v>536</v>
      </c>
      <c r="AP54" s="167"/>
      <c r="AQ54" s="167"/>
      <c r="AR54" s="167"/>
      <c r="AS54" s="519"/>
      <c r="AT54" s="519"/>
      <c r="AU54" s="533"/>
      <c r="AV54" s="519"/>
      <c r="AW54" s="533"/>
      <c r="AX54" s="519"/>
      <c r="AY54" s="519"/>
      <c r="AZ54" s="519"/>
      <c r="BA54" s="519"/>
      <c r="BB54" s="531"/>
      <c r="BC54" s="442"/>
      <c r="BE54" s="117"/>
      <c r="BF54" s="117"/>
      <c r="BG54" s="117"/>
      <c r="BH54" s="117"/>
    </row>
    <row r="55" customFormat="false" ht="11.25" hidden="false" customHeight="true" outlineLevel="0" collapsed="false">
      <c r="A55" s="415" t="s">
        <v>292</v>
      </c>
      <c r="B55" s="415"/>
      <c r="C55" s="415"/>
      <c r="D55" s="415"/>
      <c r="E55" s="416"/>
      <c r="F55" s="416"/>
      <c r="G55" s="416"/>
      <c r="H55" s="416"/>
      <c r="I55" s="431"/>
      <c r="J55" s="431"/>
      <c r="K55" s="431"/>
      <c r="L55" s="417"/>
      <c r="P55" s="120"/>
      <c r="Q55" s="120"/>
      <c r="R55" s="435"/>
      <c r="S55" s="477"/>
      <c r="T55" s="562"/>
      <c r="U55" s="421"/>
      <c r="V55" s="519"/>
      <c r="W55" s="533"/>
      <c r="X55" s="519"/>
      <c r="Y55" s="533"/>
      <c r="Z55" s="519"/>
      <c r="AA55" s="519"/>
      <c r="AB55" s="519"/>
      <c r="AC55" s="519"/>
      <c r="AD55" s="203"/>
      <c r="AE55" s="529"/>
      <c r="AF55" s="301"/>
      <c r="AG55" s="580"/>
      <c r="AH55" s="203"/>
      <c r="AI55" s="535"/>
      <c r="AJ55" s="160"/>
      <c r="AK55" s="382" t="s">
        <v>537</v>
      </c>
      <c r="AL55" s="519"/>
      <c r="AM55" s="519"/>
      <c r="AN55" s="519"/>
      <c r="AO55" s="519"/>
      <c r="AP55" s="519"/>
      <c r="AQ55" s="519"/>
      <c r="AR55" s="519"/>
      <c r="AS55" s="519"/>
      <c r="AT55" s="519"/>
      <c r="AU55" s="533"/>
      <c r="AV55" s="519"/>
      <c r="AW55" s="533"/>
      <c r="AX55" s="519"/>
      <c r="AY55" s="519"/>
      <c r="AZ55" s="519"/>
      <c r="BA55" s="519"/>
      <c r="BB55" s="531"/>
      <c r="BC55" s="442"/>
      <c r="BE55" s="117"/>
      <c r="BF55" s="117"/>
      <c r="BG55" s="117"/>
      <c r="BH55" s="117"/>
    </row>
    <row r="56" customFormat="false" ht="11.25" hidden="false" customHeight="true" outlineLevel="0" collapsed="false">
      <c r="A56" s="415" t="s">
        <v>292</v>
      </c>
      <c r="B56" s="415" t="s">
        <v>293</v>
      </c>
      <c r="C56" s="415" t="s">
        <v>294</v>
      </c>
      <c r="D56" s="415" t="s">
        <v>543</v>
      </c>
      <c r="E56" s="416"/>
      <c r="F56" s="416"/>
      <c r="G56" s="416"/>
      <c r="H56" s="416"/>
      <c r="I56" s="431"/>
      <c r="J56" s="431"/>
      <c r="K56" s="431"/>
      <c r="L56" s="417"/>
      <c r="P56" s="120"/>
      <c r="Q56" s="120"/>
      <c r="R56" s="435"/>
      <c r="S56" s="477"/>
      <c r="T56" s="562"/>
      <c r="U56" s="421"/>
      <c r="V56" s="519"/>
      <c r="W56" s="520" t="str">
        <f aca="false">Z52&amp;"-"&amp;AB52</f>
        <v>-</v>
      </c>
      <c r="X56" s="519"/>
      <c r="Y56" s="520" t="str">
        <f aca="false">AB52&amp;"-"&amp;AD52</f>
        <v>-да</v>
      </c>
      <c r="Z56" s="519"/>
      <c r="AA56" s="519"/>
      <c r="AB56" s="519"/>
      <c r="AC56" s="519"/>
      <c r="AD56" s="203"/>
      <c r="AE56" s="537"/>
      <c r="AF56" s="538"/>
      <c r="AG56" s="167" t="s">
        <v>519</v>
      </c>
      <c r="AH56" s="519"/>
      <c r="AI56" s="519"/>
      <c r="AJ56" s="519"/>
      <c r="AK56" s="519"/>
      <c r="AL56" s="519"/>
      <c r="AM56" s="519"/>
      <c r="AN56" s="519"/>
      <c r="AO56" s="519"/>
      <c r="AP56" s="519"/>
      <c r="AQ56" s="519"/>
      <c r="AR56" s="519"/>
      <c r="AS56" s="519"/>
      <c r="AT56" s="519"/>
      <c r="AU56" s="520" t="str">
        <f aca="false">AX52&amp;"-"&amp;AZ52</f>
        <v>-</v>
      </c>
      <c r="AV56" s="519"/>
      <c r="AW56" s="520" t="str">
        <f aca="false">AZ52&amp;"-"&amp;BB52</f>
        <v>-</v>
      </c>
      <c r="AX56" s="519"/>
      <c r="AY56" s="519"/>
      <c r="AZ56" s="519"/>
      <c r="BA56" s="519"/>
      <c r="BB56" s="536" t="str">
        <f aca="false">BE52&amp;"-"&amp;BG52</f>
        <v>-</v>
      </c>
      <c r="BC56" s="442"/>
      <c r="BE56" s="117"/>
      <c r="BF56" s="117" t="str">
        <f aca="false">IF(T56="","",T56)</f>
        <v/>
      </c>
      <c r="BG56" s="117"/>
      <c r="BH56" s="117"/>
    </row>
    <row r="57" customFormat="false" ht="11.25" hidden="false" customHeight="true" outlineLevel="0" collapsed="false">
      <c r="A57" s="415" t="s">
        <v>292</v>
      </c>
      <c r="B57" s="415" t="s">
        <v>293</v>
      </c>
      <c r="C57" s="415" t="s">
        <v>294</v>
      </c>
      <c r="D57" s="415" t="s">
        <v>543</v>
      </c>
      <c r="E57" s="416"/>
      <c r="F57" s="416"/>
      <c r="G57" s="416"/>
      <c r="H57" s="416"/>
      <c r="I57" s="431"/>
      <c r="J57" s="431"/>
      <c r="K57" s="415"/>
      <c r="L57" s="417"/>
      <c r="P57" s="120"/>
      <c r="Q57" s="120"/>
      <c r="R57" s="432"/>
      <c r="S57" s="444"/>
      <c r="T57" s="447" t="s">
        <v>481</v>
      </c>
      <c r="U57" s="193"/>
      <c r="V57" s="193"/>
      <c r="W57" s="193"/>
      <c r="X57" s="193"/>
      <c r="Y57" s="193"/>
      <c r="Z57" s="193"/>
      <c r="AA57" s="193"/>
      <c r="AB57" s="193"/>
      <c r="AC57" s="446"/>
      <c r="AD57" s="558"/>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446"/>
      <c r="BC57" s="442"/>
      <c r="BE57" s="117"/>
      <c r="BF57" s="117" t="str">
        <f aca="false">IF(T57="","",T57)</f>
        <v>Добавить строку</v>
      </c>
      <c r="BG57" s="117"/>
      <c r="BH57" s="117"/>
    </row>
    <row r="58" s="47" customFormat="true" ht="12.8" hidden="false" customHeight="false" outlineLevel="0" collapsed="false">
      <c r="A58" s="121" t="s">
        <v>292</v>
      </c>
      <c r="B58" s="121" t="s">
        <v>293</v>
      </c>
      <c r="C58" s="121" t="s">
        <v>294</v>
      </c>
      <c r="D58" s="121" t="s">
        <v>543</v>
      </c>
      <c r="E58" s="416"/>
      <c r="F58" s="416"/>
      <c r="G58" s="416"/>
      <c r="H58" s="416"/>
      <c r="I58" s="431"/>
      <c r="J58" s="121"/>
      <c r="K58" s="121"/>
      <c r="L58" s="191"/>
      <c r="M58" s="510"/>
      <c r="N58" s="510"/>
      <c r="O58" s="510"/>
      <c r="P58" s="120"/>
      <c r="Q58" s="120"/>
      <c r="R58" s="432"/>
      <c r="S58" s="506"/>
      <c r="T58" s="507"/>
      <c r="U58" s="508"/>
      <c r="V58" s="508"/>
      <c r="W58" s="508"/>
      <c r="X58" s="508"/>
      <c r="Y58" s="508"/>
      <c r="Z58" s="508"/>
      <c r="AA58" s="508"/>
      <c r="AB58" s="508"/>
      <c r="AC58" s="508"/>
      <c r="AD58" s="508"/>
      <c r="AE58" s="508"/>
      <c r="AF58" s="508"/>
      <c r="AG58" s="508"/>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9"/>
      <c r="BE58" s="117"/>
      <c r="BF58" s="117" t="str">
        <f aca="false">IF(T58="","",T58)</f>
        <v/>
      </c>
      <c r="BG58" s="117"/>
      <c r="BH58" s="117"/>
    </row>
    <row r="59" s="47" customFormat="true" ht="12.8" hidden="false" customHeight="false" outlineLevel="0" collapsed="false">
      <c r="A59" s="121" t="s">
        <v>292</v>
      </c>
      <c r="B59" s="121" t="s">
        <v>293</v>
      </c>
      <c r="C59" s="121" t="s">
        <v>294</v>
      </c>
      <c r="D59" s="121" t="s">
        <v>543</v>
      </c>
      <c r="E59" s="416"/>
      <c r="F59" s="416"/>
      <c r="G59" s="416"/>
      <c r="H59" s="416"/>
      <c r="I59" s="121"/>
      <c r="J59" s="121"/>
      <c r="K59" s="121"/>
      <c r="L59" s="191"/>
      <c r="M59" s="46"/>
      <c r="N59" s="46"/>
      <c r="P59" s="155"/>
      <c r="Q59" s="452"/>
      <c r="R59" s="539"/>
      <c r="S59" s="506"/>
      <c r="T59" s="507"/>
      <c r="U59" s="508"/>
      <c r="V59" s="508"/>
      <c r="W59" s="508"/>
      <c r="X59" s="508"/>
      <c r="Y59" s="508"/>
      <c r="Z59" s="508"/>
      <c r="AA59" s="508"/>
      <c r="AB59" s="508"/>
      <c r="AC59" s="508"/>
      <c r="AD59" s="508"/>
      <c r="AE59" s="508"/>
      <c r="AF59" s="508"/>
      <c r="AG59" s="508"/>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9"/>
      <c r="BE59" s="117"/>
      <c r="BF59" s="117" t="str">
        <f aca="false">IF(T59="","",T59)</f>
        <v/>
      </c>
      <c r="BG59" s="117"/>
      <c r="BH59" s="117"/>
    </row>
    <row r="60" s="47" customFormat="true" ht="12.8" hidden="false" customHeight="false" outlineLevel="0" collapsed="false">
      <c r="A60" s="121" t="s">
        <v>292</v>
      </c>
      <c r="B60" s="121" t="s">
        <v>293</v>
      </c>
      <c r="C60" s="121" t="s">
        <v>294</v>
      </c>
      <c r="D60" s="121"/>
      <c r="E60" s="416"/>
      <c r="F60" s="416"/>
      <c r="G60" s="416"/>
      <c r="H60" s="121"/>
      <c r="I60" s="121"/>
      <c r="J60" s="121"/>
      <c r="K60" s="121"/>
      <c r="L60" s="191"/>
      <c r="M60" s="46"/>
      <c r="N60" s="46"/>
      <c r="P60" s="155"/>
      <c r="Q60" s="452"/>
      <c r="R60" s="155"/>
      <c r="S60" s="457"/>
      <c r="T60" s="460"/>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59"/>
      <c r="AW60" s="459"/>
      <c r="AX60" s="459"/>
      <c r="AY60" s="459"/>
      <c r="AZ60" s="459"/>
      <c r="BA60" s="459"/>
      <c r="BB60" s="459"/>
      <c r="BC60" s="459"/>
      <c r="BE60" s="117"/>
      <c r="BF60" s="117" t="str">
        <f aca="false">IF(T60="","",T60)</f>
        <v/>
      </c>
      <c r="BG60" s="117"/>
      <c r="BH60" s="117"/>
    </row>
    <row r="61" s="47" customFormat="true" ht="12.8" hidden="false" customHeight="false" outlineLevel="0" collapsed="false">
      <c r="A61" s="121" t="s">
        <v>292</v>
      </c>
      <c r="B61" s="121" t="s">
        <v>293</v>
      </c>
      <c r="C61" s="121"/>
      <c r="D61" s="121"/>
      <c r="E61" s="416"/>
      <c r="F61" s="416"/>
      <c r="G61" s="121"/>
      <c r="H61" s="121"/>
      <c r="I61" s="121"/>
      <c r="J61" s="121"/>
      <c r="K61" s="121"/>
      <c r="L61" s="191"/>
      <c r="M61" s="456"/>
      <c r="N61" s="456"/>
      <c r="P61" s="155"/>
      <c r="Q61" s="452"/>
      <c r="R61" s="155"/>
      <c r="S61" s="457"/>
      <c r="T61" s="460" t="s">
        <v>261</v>
      </c>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59"/>
      <c r="AW61" s="459"/>
      <c r="AX61" s="459"/>
      <c r="AY61" s="459"/>
      <c r="AZ61" s="459"/>
      <c r="BA61" s="459"/>
      <c r="BB61" s="459"/>
      <c r="BC61" s="459"/>
      <c r="BE61" s="117"/>
      <c r="BF61" s="117" t="str">
        <f aca="false">IF(T61="","",T61)</f>
        <v>Добавить централизованную систему для дифференциации</v>
      </c>
      <c r="BG61" s="117"/>
      <c r="BH61" s="117"/>
    </row>
    <row r="62" s="47" customFormat="true" ht="12.8" hidden="false" customHeight="false" outlineLevel="0" collapsed="false">
      <c r="A62" s="121" t="s">
        <v>292</v>
      </c>
      <c r="B62" s="121"/>
      <c r="C62" s="121"/>
      <c r="D62" s="121"/>
      <c r="E62" s="416"/>
      <c r="F62" s="121"/>
      <c r="G62" s="121"/>
      <c r="H62" s="121"/>
      <c r="I62" s="121"/>
      <c r="J62" s="121"/>
      <c r="K62" s="121"/>
      <c r="L62" s="191"/>
      <c r="M62" s="456"/>
      <c r="N62" s="456"/>
      <c r="P62" s="155"/>
      <c r="Q62" s="452"/>
      <c r="R62" s="155"/>
      <c r="S62" s="457"/>
      <c r="T62" s="460" t="s">
        <v>268</v>
      </c>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459"/>
      <c r="BB62" s="459"/>
      <c r="BC62" s="459"/>
      <c r="BE62" s="117"/>
      <c r="BF62" s="117" t="str">
        <f aca="false">IF(T62="","",T62)</f>
        <v>Добавить территорию для дифференциации</v>
      </c>
      <c r="BG62" s="117"/>
      <c r="BH62" s="117"/>
    </row>
    <row r="63" s="47" customFormat="true" ht="12.8" hidden="false" customHeight="false" outlineLevel="0" collapsed="false">
      <c r="A63" s="121"/>
      <c r="B63" s="121"/>
      <c r="C63" s="121"/>
      <c r="D63" s="121"/>
      <c r="E63" s="121"/>
      <c r="F63" s="121"/>
      <c r="G63" s="121"/>
      <c r="H63" s="121"/>
      <c r="I63" s="121"/>
      <c r="J63" s="121"/>
      <c r="K63" s="121"/>
      <c r="L63" s="191"/>
      <c r="M63" s="456"/>
      <c r="N63" s="456"/>
      <c r="P63" s="155"/>
      <c r="Q63" s="452"/>
      <c r="R63" s="155"/>
      <c r="S63" s="457"/>
      <c r="T63" s="460" t="s">
        <v>269</v>
      </c>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459"/>
      <c r="AY63" s="459"/>
      <c r="AZ63" s="459"/>
      <c r="BA63" s="459"/>
      <c r="BB63" s="459"/>
      <c r="BC63" s="459"/>
      <c r="BE63" s="117"/>
      <c r="BF63" s="117" t="str">
        <f aca="false">IF(T63="","",T63)</f>
        <v>Добавить наименование тарифа</v>
      </c>
      <c r="BG63" s="117"/>
      <c r="BH63" s="117"/>
    </row>
    <row r="64" customFormat="false" ht="11.25" hidden="false" customHeight="true" outlineLevel="0" collapsed="false">
      <c r="M64" s="45"/>
      <c r="N64" s="45"/>
      <c r="O64" s="45"/>
      <c r="P64" s="45"/>
      <c r="Q64" s="45"/>
      <c r="R64" s="42"/>
      <c r="S64" s="42"/>
      <c r="BD64" s="42"/>
      <c r="BE64" s="42"/>
      <c r="BF64" s="42"/>
      <c r="BG64" s="42"/>
      <c r="BH64" s="42"/>
    </row>
    <row r="65" customFormat="false" ht="14.25" hidden="false" customHeight="true" outlineLevel="0" collapsed="false">
      <c r="O65" s="45"/>
      <c r="S65" s="412"/>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491"/>
      <c r="AY65" s="491"/>
      <c r="AZ65" s="491"/>
      <c r="BA65" s="491"/>
      <c r="BB65" s="491"/>
      <c r="BC65" s="491"/>
    </row>
    <row r="66" customFormat="false" ht="14.25" hidden="false" customHeight="true" outlineLevel="0" collapsed="false">
      <c r="O66" s="45"/>
      <c r="T66" s="491"/>
      <c r="U66" s="491"/>
      <c r="V66" s="491"/>
      <c r="W66" s="491"/>
      <c r="X66" s="491"/>
      <c r="Y66" s="491"/>
      <c r="Z66" s="491"/>
      <c r="AA66" s="491"/>
      <c r="AB66" s="491"/>
      <c r="AC66" s="491"/>
      <c r="AD66" s="491"/>
      <c r="AE66" s="491"/>
      <c r="AF66" s="491"/>
      <c r="AG66" s="491"/>
      <c r="AH66" s="491"/>
      <c r="AI66" s="491"/>
      <c r="AJ66" s="491"/>
      <c r="AK66" s="491"/>
      <c r="AL66" s="491"/>
      <c r="AM66" s="491"/>
      <c r="AN66" s="491"/>
      <c r="AO66" s="491"/>
      <c r="AP66" s="491"/>
      <c r="AQ66" s="491"/>
      <c r="AR66" s="491"/>
      <c r="AS66" s="491"/>
      <c r="AT66" s="491"/>
      <c r="AU66" s="491"/>
      <c r="AV66" s="491"/>
      <c r="AW66" s="491"/>
      <c r="AX66" s="491"/>
      <c r="AY66" s="491"/>
      <c r="AZ66" s="491"/>
      <c r="BA66" s="491"/>
      <c r="BB66" s="491"/>
      <c r="BC66" s="491"/>
    </row>
    <row r="67" customFormat="false" ht="14.25" hidden="false" customHeight="true" outlineLevel="0" collapsed="false">
      <c r="O67" s="45"/>
      <c r="S67" s="412"/>
      <c r="T67" s="491"/>
      <c r="U67" s="491"/>
      <c r="V67" s="491"/>
      <c r="W67" s="491"/>
      <c r="X67" s="491"/>
      <c r="Y67" s="491"/>
      <c r="Z67" s="491"/>
      <c r="AA67" s="491"/>
      <c r="AB67" s="491"/>
      <c r="AC67" s="491"/>
      <c r="AD67" s="491"/>
      <c r="AE67" s="491"/>
      <c r="AF67" s="491"/>
      <c r="AG67" s="491"/>
      <c r="AH67" s="491"/>
      <c r="AI67" s="491"/>
      <c r="AJ67" s="491"/>
      <c r="AK67" s="491"/>
      <c r="AL67" s="491"/>
      <c r="AM67" s="491"/>
      <c r="AN67" s="491"/>
      <c r="AO67" s="491"/>
      <c r="AP67" s="491"/>
      <c r="AQ67" s="491"/>
      <c r="AR67" s="491"/>
      <c r="AS67" s="491"/>
      <c r="AT67" s="491"/>
      <c r="AU67" s="491"/>
      <c r="AV67" s="491"/>
      <c r="AW67" s="491"/>
      <c r="AX67" s="491"/>
      <c r="AY67" s="491"/>
      <c r="AZ67" s="491"/>
      <c r="BA67" s="491"/>
      <c r="BB67" s="491"/>
      <c r="BC67" s="491"/>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ES96"/>
  <sheetViews>
    <sheetView showFormulas="false" showGridLines="false" showRowColHeaders="true" showZeros="true" rightToLeft="false" tabSelected="true" showOutlineSymbols="true" defaultGridColor="true" view="normal" topLeftCell="P23" colorId="64" zoomScale="90" zoomScaleNormal="90" zoomScalePageLayoutView="100" workbookViewId="0">
      <selection pane="topLeft" activeCell="EJ83" activeCellId="0" sqref="EJ83"/>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71"/>
    <col collapsed="false" customWidth="true" hidden="false" outlineLevel="0" max="18" min="17" style="414" width="3.71"/>
    <col collapsed="false" customWidth="true" hidden="false" outlineLevel="0" max="19" min="19" style="75" width="12.71"/>
    <col collapsed="false" customWidth="true" hidden="false" outlineLevel="0" max="20" min="20" style="42" width="35.71"/>
    <col collapsed="false" customWidth="true" hidden="false" outlineLevel="0" max="21" min="21" style="42" width="0.14"/>
    <col collapsed="false" customWidth="true" hidden="true" outlineLevel="0" max="28" min="22" style="42" width="19.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9" min="33" style="42" width="19.71"/>
    <col collapsed="false" customWidth="true" hidden="false" outlineLevel="0" max="40" min="40" style="42" width="11.71"/>
    <col collapsed="false" customWidth="true" hidden="false" outlineLevel="0" max="41" min="41" style="42" width="3.71"/>
    <col collapsed="false" customWidth="true" hidden="false" outlineLevel="0" max="42" min="42" style="42" width="11.71"/>
    <col collapsed="false" customWidth="true" hidden="false" outlineLevel="0" max="43" min="43" style="42" width="8.57"/>
    <col collapsed="false" customWidth="false" hidden="true" outlineLevel="0" max="142" min="142" style="173" width="10.57"/>
    <col collapsed="false" customWidth="true" hidden="false" outlineLevel="0" max="143" min="143" style="42" width="4.71"/>
    <col collapsed="false" customWidth="true" hidden="false" outlineLevel="0" max="144" min="144" style="42" width="115.71"/>
    <col collapsed="false" customWidth="false" hidden="false" outlineLevel="0" max="146" min="145" style="47" width="10.57"/>
    <col collapsed="false" customWidth="true" hidden="false" outlineLevel="0" max="147" min="147" style="47" width="11.14"/>
    <col collapsed="false" customWidth="false" hidden="false" outlineLevel="0" max="149" min="148" style="47" width="10.57"/>
  </cols>
  <sheetData>
    <row r="1" customFormat="false" ht="14.25" hidden="true" customHeight="true" outlineLevel="0" collapsed="false">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row>
    <row r="2" customFormat="false" ht="23.25" hidden="true" customHeight="true" outlineLevel="0" collapsed="false">
      <c r="A2" s="415"/>
      <c r="B2" s="415"/>
      <c r="C2" s="415"/>
      <c r="D2" s="415"/>
      <c r="E2" s="416" t="n">
        <v>1</v>
      </c>
      <c r="F2" s="415"/>
      <c r="G2" s="415"/>
      <c r="H2" s="415"/>
      <c r="I2" s="415"/>
      <c r="J2" s="415"/>
      <c r="K2" s="415"/>
      <c r="L2" s="417"/>
      <c r="M2" s="40"/>
      <c r="N2" s="40"/>
      <c r="O2" s="40"/>
      <c r="Q2" s="131"/>
      <c r="R2" s="418"/>
      <c r="S2" s="419" t="e">
        <f aca="false">INDEX(PT_DIFFERENTIATION_NUM_NTAR,MATCH(A2,PT_DIFFERENTIATION_NTAR_ID,0))</f>
        <v>#N/A</v>
      </c>
      <c r="T2" s="420" t="s">
        <v>130</v>
      </c>
      <c r="U2" s="421"/>
      <c r="V2" s="422"/>
      <c r="W2" s="422"/>
      <c r="X2" s="422"/>
      <c r="Y2" s="422"/>
      <c r="Z2" s="422"/>
      <c r="AA2" s="422"/>
      <c r="AB2" s="422"/>
      <c r="AC2" s="422"/>
      <c r="AD2" s="422"/>
      <c r="AE2" s="422"/>
      <c r="AF2" s="422"/>
      <c r="AG2" s="423" t="e">
        <f aca="false">INDEX(PT_DIFFERENTIATION_NTAR,MATCH(A2,PT_DIFFERENTIATION_NTAR_ID,0))</f>
        <v>#N/A</v>
      </c>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3"/>
      <c r="BW2" s="423"/>
      <c r="BX2" s="423"/>
      <c r="BY2" s="423"/>
      <c r="BZ2" s="423"/>
      <c r="CA2" s="423"/>
      <c r="CB2" s="423"/>
      <c r="CC2" s="423"/>
      <c r="CD2" s="423"/>
      <c r="CE2" s="423"/>
      <c r="CF2" s="423"/>
      <c r="CG2" s="423"/>
      <c r="CH2" s="423"/>
      <c r="CI2" s="423"/>
      <c r="CJ2" s="423"/>
      <c r="CK2" s="423"/>
      <c r="CL2" s="423"/>
      <c r="CM2" s="423"/>
      <c r="CN2" s="423"/>
      <c r="CO2" s="423"/>
      <c r="CP2" s="423"/>
      <c r="CQ2" s="423"/>
      <c r="CR2" s="423"/>
      <c r="CS2" s="423"/>
      <c r="CT2" s="423"/>
      <c r="CU2" s="423"/>
      <c r="CV2" s="423"/>
      <c r="CW2" s="423"/>
      <c r="CX2" s="423"/>
      <c r="CY2" s="423"/>
      <c r="CZ2" s="423"/>
      <c r="DA2" s="423"/>
      <c r="DB2" s="423"/>
      <c r="DC2" s="423"/>
      <c r="DD2" s="423"/>
      <c r="DE2" s="423"/>
      <c r="DF2" s="423"/>
      <c r="DG2" s="423"/>
      <c r="DH2" s="423"/>
      <c r="DI2" s="423"/>
      <c r="DJ2" s="423"/>
      <c r="DK2" s="423"/>
      <c r="DL2" s="423"/>
      <c r="DM2" s="423"/>
      <c r="DN2" s="423"/>
      <c r="DO2" s="423"/>
      <c r="DP2" s="423"/>
      <c r="DQ2" s="423"/>
      <c r="DR2" s="423"/>
      <c r="DS2" s="423"/>
      <c r="DT2" s="423"/>
      <c r="DU2" s="423"/>
      <c r="DV2" s="423"/>
      <c r="DW2" s="423"/>
      <c r="DX2" s="423"/>
      <c r="DY2" s="423"/>
      <c r="DZ2" s="423"/>
      <c r="EA2" s="423"/>
      <c r="EB2" s="423"/>
      <c r="EC2" s="423"/>
      <c r="ED2" s="423"/>
      <c r="EE2" s="423"/>
      <c r="EF2" s="423"/>
      <c r="EG2" s="423"/>
      <c r="EH2" s="423"/>
      <c r="EI2" s="423"/>
      <c r="EJ2" s="423"/>
      <c r="EK2" s="423"/>
      <c r="EL2" s="423"/>
      <c r="EM2" s="423"/>
      <c r="EN2" s="42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P2" s="117"/>
      <c r="EQ2" s="117" t="str">
        <f aca="false">IF(T2="","",T2)</f>
        <v>Наименование тарифа</v>
      </c>
      <c r="ER2" s="117"/>
      <c r="ES2" s="117"/>
    </row>
    <row r="3" customFormat="false" ht="23.25" hidden="true" customHeight="true" outlineLevel="0" collapsed="false">
      <c r="A3" s="415"/>
      <c r="B3" s="415"/>
      <c r="C3" s="415"/>
      <c r="D3" s="415"/>
      <c r="E3" s="416"/>
      <c r="F3" s="416" t="n">
        <v>1</v>
      </c>
      <c r="G3" s="415"/>
      <c r="H3" s="415"/>
      <c r="I3" s="415"/>
      <c r="J3" s="415"/>
      <c r="K3" s="415"/>
      <c r="L3" s="417"/>
      <c r="M3" s="40"/>
      <c r="N3" s="40"/>
      <c r="O3" s="40"/>
      <c r="P3" s="43"/>
      <c r="Q3" s="425"/>
      <c r="R3" s="426"/>
      <c r="S3" s="419" t="e">
        <f aca="false">INDEX(PT_DIFFERENTIATION_NUM_TER,MATCH(B3,PT_DIFFERENTIATION_TER_ID,0))</f>
        <v>#N/A</v>
      </c>
      <c r="T3" s="427" t="s">
        <v>413</v>
      </c>
      <c r="U3" s="421"/>
      <c r="V3" s="422"/>
      <c r="W3" s="422"/>
      <c r="X3" s="422"/>
      <c r="Y3" s="422"/>
      <c r="Z3" s="422"/>
      <c r="AA3" s="422"/>
      <c r="AB3" s="422"/>
      <c r="AC3" s="422"/>
      <c r="AD3" s="422"/>
      <c r="AE3" s="422"/>
      <c r="AF3" s="422"/>
      <c r="AG3" s="423" t="e">
        <f aca="false">INDEX(PT_DIFFERENTIATION_TER,MATCH(B3,PT_DIFFERENTIATION_TER_ID,0))</f>
        <v>#N/A</v>
      </c>
      <c r="AH3" s="423"/>
      <c r="AI3" s="423"/>
      <c r="AJ3" s="423"/>
      <c r="AK3" s="423"/>
      <c r="AL3" s="423"/>
      <c r="AM3" s="423"/>
      <c r="AN3" s="423"/>
      <c r="AO3" s="423"/>
      <c r="AP3" s="423"/>
      <c r="AQ3" s="423"/>
      <c r="AR3" s="423"/>
      <c r="AS3" s="423"/>
      <c r="AT3" s="423"/>
      <c r="AU3" s="423"/>
      <c r="AV3" s="423"/>
      <c r="AW3" s="423"/>
      <c r="AX3" s="423"/>
      <c r="AY3" s="423"/>
      <c r="AZ3" s="423"/>
      <c r="BA3" s="423"/>
      <c r="BB3" s="423"/>
      <c r="BC3" s="423"/>
      <c r="BD3" s="423"/>
      <c r="BE3" s="423"/>
      <c r="BF3" s="423"/>
      <c r="BG3" s="423"/>
      <c r="BH3" s="423"/>
      <c r="BI3" s="423"/>
      <c r="BJ3" s="423"/>
      <c r="BK3" s="423"/>
      <c r="BL3" s="423"/>
      <c r="BM3" s="423"/>
      <c r="BN3" s="423"/>
      <c r="BO3" s="423"/>
      <c r="BP3" s="423"/>
      <c r="BQ3" s="423"/>
      <c r="BR3" s="423"/>
      <c r="BS3" s="423"/>
      <c r="BT3" s="423"/>
      <c r="BU3" s="423"/>
      <c r="BV3" s="423"/>
      <c r="BW3" s="423"/>
      <c r="BX3" s="423"/>
      <c r="BY3" s="423"/>
      <c r="BZ3" s="423"/>
      <c r="CA3" s="423"/>
      <c r="CB3" s="423"/>
      <c r="CC3" s="423"/>
      <c r="CD3" s="423"/>
      <c r="CE3" s="423"/>
      <c r="CF3" s="423"/>
      <c r="CG3" s="423"/>
      <c r="CH3" s="423"/>
      <c r="CI3" s="423"/>
      <c r="CJ3" s="423"/>
      <c r="CK3" s="423"/>
      <c r="CL3" s="423"/>
      <c r="CM3" s="423"/>
      <c r="CN3" s="423"/>
      <c r="CO3" s="423"/>
      <c r="CP3" s="423"/>
      <c r="CQ3" s="423"/>
      <c r="CR3" s="423"/>
      <c r="CS3" s="423"/>
      <c r="CT3" s="423"/>
      <c r="CU3" s="423"/>
      <c r="CV3" s="423"/>
      <c r="CW3" s="423"/>
      <c r="CX3" s="423"/>
      <c r="CY3" s="423"/>
      <c r="CZ3" s="423"/>
      <c r="DA3" s="423"/>
      <c r="DB3" s="423"/>
      <c r="DC3" s="423"/>
      <c r="DD3" s="423"/>
      <c r="DE3" s="423"/>
      <c r="DF3" s="423"/>
      <c r="DG3" s="423"/>
      <c r="DH3" s="423"/>
      <c r="DI3" s="423"/>
      <c r="DJ3" s="423"/>
      <c r="DK3" s="423"/>
      <c r="DL3" s="423"/>
      <c r="DM3" s="423"/>
      <c r="DN3" s="423"/>
      <c r="DO3" s="423"/>
      <c r="DP3" s="423"/>
      <c r="DQ3" s="423"/>
      <c r="DR3" s="423"/>
      <c r="DS3" s="423"/>
      <c r="DT3" s="423"/>
      <c r="DU3" s="423"/>
      <c r="DV3" s="423"/>
      <c r="DW3" s="423"/>
      <c r="DX3" s="423"/>
      <c r="DY3" s="423"/>
      <c r="DZ3" s="423"/>
      <c r="EA3" s="423"/>
      <c r="EB3" s="423"/>
      <c r="EC3" s="423"/>
      <c r="ED3" s="423"/>
      <c r="EE3" s="423"/>
      <c r="EF3" s="423"/>
      <c r="EG3" s="423"/>
      <c r="EH3" s="423"/>
      <c r="EI3" s="423"/>
      <c r="EJ3" s="423"/>
      <c r="EK3" s="423"/>
      <c r="EL3" s="423"/>
      <c r="EM3" s="423"/>
      <c r="EN3" s="424" t="s">
        <v>414</v>
      </c>
      <c r="EP3" s="117"/>
      <c r="EQ3" s="117" t="str">
        <f aca="false">IF(T3="","",T3)</f>
        <v>Территория действия тарифа</v>
      </c>
      <c r="ER3" s="117"/>
      <c r="ES3" s="117"/>
    </row>
    <row r="4" customFormat="false" ht="23.25" hidden="true" customHeight="true" outlineLevel="0" collapsed="false">
      <c r="A4" s="415"/>
      <c r="B4" s="415"/>
      <c r="C4" s="415"/>
      <c r="D4" s="415"/>
      <c r="E4" s="416"/>
      <c r="F4" s="416"/>
      <c r="G4" s="416" t="n">
        <v>1</v>
      </c>
      <c r="H4" s="415"/>
      <c r="I4" s="415"/>
      <c r="J4" s="415"/>
      <c r="K4" s="415"/>
      <c r="L4" s="417"/>
      <c r="M4" s="40"/>
      <c r="N4" s="40"/>
      <c r="O4" s="40"/>
      <c r="P4" s="428"/>
      <c r="Q4" s="425"/>
      <c r="R4" s="426"/>
      <c r="S4" s="419" t="e">
        <f aca="false">INDEX(PT_DIFFERENTIATION_NUM_CS,MATCH(C4,PT_DIFFERENTIATION_CS_ID,0))</f>
        <v>#N/A</v>
      </c>
      <c r="T4" s="429" t="s">
        <v>544</v>
      </c>
      <c r="U4" s="421"/>
      <c r="V4" s="422"/>
      <c r="W4" s="422"/>
      <c r="X4" s="422"/>
      <c r="Y4" s="422"/>
      <c r="Z4" s="422"/>
      <c r="AA4" s="422"/>
      <c r="AB4" s="422"/>
      <c r="AC4" s="422"/>
      <c r="AD4" s="422"/>
      <c r="AE4" s="422"/>
      <c r="AF4" s="422"/>
      <c r="AG4" s="423" t="e">
        <f aca="false">INDEX(PT_DIFFERENTIATION_CS,MATCH(C4,PT_DIFFERENTIATION_CS_ID,0))</f>
        <v>#N/A</v>
      </c>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423"/>
      <c r="DG4" s="423"/>
      <c r="DH4" s="423"/>
      <c r="DI4" s="423"/>
      <c r="DJ4" s="423"/>
      <c r="DK4" s="423"/>
      <c r="DL4" s="423"/>
      <c r="DM4" s="423"/>
      <c r="DN4" s="423"/>
      <c r="DO4" s="423"/>
      <c r="DP4" s="423"/>
      <c r="DQ4" s="423"/>
      <c r="DR4" s="423"/>
      <c r="DS4" s="423"/>
      <c r="DT4" s="423"/>
      <c r="DU4" s="423"/>
      <c r="DV4" s="423"/>
      <c r="DW4" s="423"/>
      <c r="DX4" s="423"/>
      <c r="DY4" s="423"/>
      <c r="DZ4" s="423"/>
      <c r="EA4" s="423"/>
      <c r="EB4" s="423"/>
      <c r="EC4" s="423"/>
      <c r="ED4" s="423"/>
      <c r="EE4" s="423"/>
      <c r="EF4" s="423"/>
      <c r="EG4" s="423"/>
      <c r="EH4" s="423"/>
      <c r="EI4" s="423"/>
      <c r="EJ4" s="423"/>
      <c r="EK4" s="423"/>
      <c r="EL4" s="423"/>
      <c r="EM4" s="423"/>
      <c r="EN4" s="424" t="s">
        <v>545</v>
      </c>
      <c r="EP4" s="117"/>
      <c r="EQ4" s="117" t="str">
        <f aca="false">IF(T4="","",T4)</f>
        <v>Наименование централизованной системы горячего водоснабжения</v>
      </c>
      <c r="ER4" s="117"/>
      <c r="ES4" s="117"/>
    </row>
    <row r="5" customFormat="false" ht="23.25" hidden="true" customHeight="true" outlineLevel="0" collapsed="false">
      <c r="A5" s="415"/>
      <c r="B5" s="415"/>
      <c r="C5" s="415"/>
      <c r="D5" s="415"/>
      <c r="E5" s="416"/>
      <c r="F5" s="416"/>
      <c r="G5" s="416"/>
      <c r="H5" s="560"/>
      <c r="I5" s="431" t="e">
        <f aca="false">S4&amp;".1"</f>
        <v>#N/A</v>
      </c>
      <c r="J5" s="415"/>
      <c r="K5" s="415"/>
      <c r="L5" s="417"/>
      <c r="P5" s="120" t="n">
        <v>1</v>
      </c>
      <c r="Q5" s="120"/>
      <c r="R5" s="432"/>
      <c r="S5" s="419" t="e">
        <f aca="false">$I5</f>
        <v>#N/A</v>
      </c>
      <c r="T5" s="433" t="s">
        <v>497</v>
      </c>
      <c r="U5" s="421"/>
      <c r="V5" s="561"/>
      <c r="W5" s="561"/>
      <c r="X5" s="561"/>
      <c r="Y5" s="561"/>
      <c r="Z5" s="561"/>
      <c r="AA5" s="561"/>
      <c r="AB5" s="561"/>
      <c r="AC5" s="561"/>
      <c r="AD5" s="561"/>
      <c r="AE5" s="561"/>
      <c r="AF5" s="561"/>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c r="DM5" s="245"/>
      <c r="DN5" s="245"/>
      <c r="DO5" s="245"/>
      <c r="DP5" s="245"/>
      <c r="DQ5" s="245"/>
      <c r="DR5" s="245"/>
      <c r="DS5" s="245"/>
      <c r="DT5" s="245"/>
      <c r="DU5" s="245"/>
      <c r="DV5" s="245"/>
      <c r="DW5" s="245"/>
      <c r="DX5" s="245"/>
      <c r="DY5" s="245"/>
      <c r="DZ5" s="245"/>
      <c r="EA5" s="245"/>
      <c r="EB5" s="245"/>
      <c r="EC5" s="245"/>
      <c r="ED5" s="245"/>
      <c r="EE5" s="245"/>
      <c r="EF5" s="245"/>
      <c r="EG5" s="245"/>
      <c r="EH5" s="245"/>
      <c r="EI5" s="245"/>
      <c r="EJ5" s="245"/>
      <c r="EK5" s="245"/>
      <c r="EL5" s="245"/>
      <c r="EM5" s="245"/>
      <c r="EN5" s="424" t="s">
        <v>498</v>
      </c>
      <c r="EP5" s="117"/>
      <c r="EQ5" s="117" t="str">
        <f aca="false">IF(T5="","",T5)</f>
        <v>Наименование признака дифференциации</v>
      </c>
      <c r="ER5" s="117"/>
      <c r="ES5" s="117"/>
    </row>
    <row r="6" customFormat="false" ht="23.25" hidden="true" customHeight="true" outlineLevel="0" collapsed="false">
      <c r="A6" s="415"/>
      <c r="B6" s="415"/>
      <c r="C6" s="415"/>
      <c r="D6" s="415"/>
      <c r="E6" s="416"/>
      <c r="F6" s="416"/>
      <c r="G6" s="416"/>
      <c r="H6" s="416"/>
      <c r="I6" s="431"/>
      <c r="J6" s="431" t="e">
        <f aca="false">I5&amp;".1"</f>
        <v>#N/A</v>
      </c>
      <c r="K6" s="415"/>
      <c r="L6" s="417" t="s">
        <v>422</v>
      </c>
      <c r="P6" s="120"/>
      <c r="Q6" s="120" t="n">
        <v>1</v>
      </c>
      <c r="R6" s="435"/>
      <c r="S6" s="419" t="e">
        <f aca="false">$J6</f>
        <v>#N/A</v>
      </c>
      <c r="T6" s="436" t="s">
        <v>423</v>
      </c>
      <c r="U6" s="421"/>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4"/>
      <c r="AY6" s="434"/>
      <c r="AZ6" s="434"/>
      <c r="BA6" s="434"/>
      <c r="BB6" s="434"/>
      <c r="BC6" s="434"/>
      <c r="BD6" s="434"/>
      <c r="BE6" s="434"/>
      <c r="BF6" s="434"/>
      <c r="BG6" s="434"/>
      <c r="BH6" s="434"/>
      <c r="BI6" s="434"/>
      <c r="BJ6" s="434"/>
      <c r="BK6" s="434"/>
      <c r="BL6" s="434"/>
      <c r="BM6" s="434"/>
      <c r="BN6" s="434"/>
      <c r="BO6" s="434"/>
      <c r="BP6" s="434"/>
      <c r="BQ6" s="434"/>
      <c r="BR6" s="434"/>
      <c r="BS6" s="434"/>
      <c r="BT6" s="434"/>
      <c r="BU6" s="434"/>
      <c r="BV6" s="434"/>
      <c r="BW6" s="434"/>
      <c r="BX6" s="434"/>
      <c r="BY6" s="434"/>
      <c r="BZ6" s="434"/>
      <c r="CA6" s="434"/>
      <c r="CB6" s="434"/>
      <c r="CC6" s="434"/>
      <c r="CD6" s="434"/>
      <c r="CE6" s="434"/>
      <c r="CF6" s="434"/>
      <c r="CG6" s="434"/>
      <c r="CH6" s="434"/>
      <c r="CI6" s="434"/>
      <c r="CJ6" s="434"/>
      <c r="CK6" s="434"/>
      <c r="CL6" s="434"/>
      <c r="CM6" s="434"/>
      <c r="CN6" s="434"/>
      <c r="CO6" s="434"/>
      <c r="CP6" s="434"/>
      <c r="CQ6" s="434"/>
      <c r="CR6" s="434"/>
      <c r="CS6" s="434"/>
      <c r="CT6" s="434"/>
      <c r="CU6" s="434"/>
      <c r="CV6" s="434"/>
      <c r="CW6" s="434"/>
      <c r="CX6" s="434"/>
      <c r="CY6" s="434"/>
      <c r="CZ6" s="434"/>
      <c r="DA6" s="434"/>
      <c r="DB6" s="434"/>
      <c r="DC6" s="434"/>
      <c r="DD6" s="434"/>
      <c r="DE6" s="434"/>
      <c r="DF6" s="434"/>
      <c r="DG6" s="434"/>
      <c r="DH6" s="434"/>
      <c r="DI6" s="434"/>
      <c r="DJ6" s="434"/>
      <c r="DK6" s="434"/>
      <c r="DL6" s="434"/>
      <c r="DM6" s="434"/>
      <c r="DN6" s="434"/>
      <c r="DO6" s="434"/>
      <c r="DP6" s="434"/>
      <c r="DQ6" s="434"/>
      <c r="DR6" s="434"/>
      <c r="DS6" s="434"/>
      <c r="DT6" s="434"/>
      <c r="DU6" s="434"/>
      <c r="DV6" s="434"/>
      <c r="DW6" s="434"/>
      <c r="DX6" s="434"/>
      <c r="DY6" s="434"/>
      <c r="DZ6" s="434"/>
      <c r="EA6" s="434"/>
      <c r="EB6" s="434"/>
      <c r="EC6" s="434"/>
      <c r="ED6" s="434"/>
      <c r="EE6" s="434"/>
      <c r="EF6" s="434"/>
      <c r="EG6" s="434"/>
      <c r="EH6" s="434"/>
      <c r="EI6" s="434"/>
      <c r="EJ6" s="434"/>
      <c r="EK6" s="434"/>
      <c r="EL6" s="434"/>
      <c r="EM6" s="434"/>
      <c r="EN6" s="514" t="s">
        <v>499</v>
      </c>
      <c r="EP6" s="117"/>
      <c r="EQ6" s="117" t="str">
        <f aca="false">IF(T6="","",T6)</f>
        <v>Группа потребителей</v>
      </c>
      <c r="ER6" s="117"/>
      <c r="ES6" s="117"/>
    </row>
    <row r="7" customFormat="false" ht="23.25" hidden="true" customHeight="true" outlineLevel="0" collapsed="false">
      <c r="A7" s="415"/>
      <c r="B7" s="415"/>
      <c r="C7" s="415"/>
      <c r="D7" s="415"/>
      <c r="E7" s="416"/>
      <c r="F7" s="416"/>
      <c r="G7" s="416"/>
      <c r="H7" s="416"/>
      <c r="I7" s="431"/>
      <c r="J7" s="431"/>
      <c r="K7" s="431" t="e">
        <f aca="false">J6&amp;".1"</f>
        <v>#N/A</v>
      </c>
      <c r="L7" s="417"/>
      <c r="P7" s="120"/>
      <c r="Q7" s="120"/>
      <c r="R7" s="435" t="n">
        <v>1</v>
      </c>
      <c r="S7" s="419" t="e">
        <f aca="false">$K7</f>
        <v>#N/A</v>
      </c>
      <c r="T7" s="562"/>
      <c r="U7" s="421"/>
      <c r="V7" s="438"/>
      <c r="W7" s="438"/>
      <c r="X7" s="438"/>
      <c r="Y7" s="438"/>
      <c r="Z7" s="438"/>
      <c r="AA7" s="438"/>
      <c r="AB7" s="438"/>
      <c r="AC7" s="441"/>
      <c r="AD7" s="203" t="s">
        <v>63</v>
      </c>
      <c r="AE7" s="441"/>
      <c r="AF7" s="203" t="s">
        <v>63</v>
      </c>
      <c r="AG7" s="438"/>
      <c r="AH7" s="438"/>
      <c r="AI7" s="438"/>
      <c r="AJ7" s="438"/>
      <c r="AK7" s="438"/>
      <c r="AL7" s="438"/>
      <c r="AM7" s="438"/>
      <c r="AN7" s="441"/>
      <c r="AO7" s="203" t="s">
        <v>63</v>
      </c>
      <c r="AP7" s="441"/>
      <c r="AQ7" s="203" t="s">
        <v>63</v>
      </c>
      <c r="AR7" s="438"/>
      <c r="AS7" s="438"/>
      <c r="AT7" s="438"/>
      <c r="AU7" s="438"/>
      <c r="AV7" s="438"/>
      <c r="AW7" s="438"/>
      <c r="AX7" s="438"/>
      <c r="AY7" s="441"/>
      <c r="AZ7" s="203" t="s">
        <v>63</v>
      </c>
      <c r="BA7" s="441"/>
      <c r="BB7" s="203" t="s">
        <v>63</v>
      </c>
      <c r="BC7" s="438"/>
      <c r="BD7" s="438"/>
      <c r="BE7" s="438"/>
      <c r="BF7" s="438"/>
      <c r="BG7" s="438"/>
      <c r="BH7" s="438"/>
      <c r="BI7" s="438"/>
      <c r="BJ7" s="441"/>
      <c r="BK7" s="203" t="s">
        <v>63</v>
      </c>
      <c r="BL7" s="441"/>
      <c r="BM7" s="203" t="s">
        <v>63</v>
      </c>
      <c r="BN7" s="438"/>
      <c r="BO7" s="438"/>
      <c r="BP7" s="438"/>
      <c r="BQ7" s="438"/>
      <c r="BR7" s="438"/>
      <c r="BS7" s="438"/>
      <c r="BT7" s="438"/>
      <c r="BU7" s="441"/>
      <c r="BV7" s="203" t="s">
        <v>63</v>
      </c>
      <c r="BW7" s="441"/>
      <c r="BX7" s="203" t="s">
        <v>63</v>
      </c>
      <c r="BY7" s="438"/>
      <c r="BZ7" s="438"/>
      <c r="CA7" s="438"/>
      <c r="CB7" s="438"/>
      <c r="CC7" s="438"/>
      <c r="CD7" s="438"/>
      <c r="CE7" s="438"/>
      <c r="CF7" s="441"/>
      <c r="CG7" s="203" t="s">
        <v>63</v>
      </c>
      <c r="CH7" s="441"/>
      <c r="CI7" s="203" t="s">
        <v>63</v>
      </c>
      <c r="CJ7" s="438"/>
      <c r="CK7" s="438"/>
      <c r="CL7" s="438"/>
      <c r="CM7" s="438"/>
      <c r="CN7" s="438"/>
      <c r="CO7" s="438"/>
      <c r="CP7" s="438"/>
      <c r="CQ7" s="441"/>
      <c r="CR7" s="203" t="s">
        <v>63</v>
      </c>
      <c r="CS7" s="441"/>
      <c r="CT7" s="203" t="s">
        <v>63</v>
      </c>
      <c r="CU7" s="438"/>
      <c r="CV7" s="438"/>
      <c r="CW7" s="438"/>
      <c r="CX7" s="438"/>
      <c r="CY7" s="438"/>
      <c r="CZ7" s="438"/>
      <c r="DA7" s="438"/>
      <c r="DB7" s="441"/>
      <c r="DC7" s="203" t="s">
        <v>63</v>
      </c>
      <c r="DD7" s="441"/>
      <c r="DE7" s="203" t="s">
        <v>63</v>
      </c>
      <c r="DF7" s="438"/>
      <c r="DG7" s="438"/>
      <c r="DH7" s="438"/>
      <c r="DI7" s="438"/>
      <c r="DJ7" s="438"/>
      <c r="DK7" s="438"/>
      <c r="DL7" s="438"/>
      <c r="DM7" s="441"/>
      <c r="DN7" s="203" t="s">
        <v>63</v>
      </c>
      <c r="DO7" s="441"/>
      <c r="DP7" s="203" t="s">
        <v>63</v>
      </c>
      <c r="DQ7" s="438"/>
      <c r="DR7" s="438"/>
      <c r="DS7" s="438"/>
      <c r="DT7" s="438"/>
      <c r="DU7" s="438"/>
      <c r="DV7" s="438"/>
      <c r="DW7" s="438"/>
      <c r="DX7" s="441"/>
      <c r="DY7" s="203" t="s">
        <v>63</v>
      </c>
      <c r="DZ7" s="441"/>
      <c r="EA7" s="203" t="s">
        <v>63</v>
      </c>
      <c r="EB7" s="438"/>
      <c r="EC7" s="438"/>
      <c r="ED7" s="438"/>
      <c r="EE7" s="438"/>
      <c r="EF7" s="438"/>
      <c r="EG7" s="438"/>
      <c r="EH7" s="438"/>
      <c r="EI7" s="441"/>
      <c r="EJ7" s="203" t="s">
        <v>63</v>
      </c>
      <c r="EK7" s="441"/>
      <c r="EL7" s="203" t="s">
        <v>63</v>
      </c>
      <c r="EM7" s="563"/>
      <c r="EN7" s="56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7" s="47" t="e">
        <f aca="false">strcheckdate(V8:EM8)</f>
        <v>#NAME?</v>
      </c>
      <c r="EP7" s="117"/>
      <c r="EQ7" s="117" t="str">
        <f aca="false">IF(T7="","",T7)</f>
        <v/>
      </c>
      <c r="ER7" s="117"/>
      <c r="ES7" s="117"/>
    </row>
    <row r="8" customFormat="false" ht="14.25" hidden="true" customHeight="true" outlineLevel="0" collapsed="false">
      <c r="A8" s="415"/>
      <c r="B8" s="415"/>
      <c r="C8" s="415"/>
      <c r="D8" s="415"/>
      <c r="E8" s="416"/>
      <c r="F8" s="416"/>
      <c r="G8" s="416"/>
      <c r="H8" s="416"/>
      <c r="I8" s="431"/>
      <c r="J8" s="431"/>
      <c r="K8" s="431"/>
      <c r="L8" s="417"/>
      <c r="P8" s="120"/>
      <c r="Q8" s="120"/>
      <c r="R8" s="435"/>
      <c r="S8" s="396"/>
      <c r="T8" s="421"/>
      <c r="U8" s="421"/>
      <c r="V8" s="439"/>
      <c r="W8" s="439"/>
      <c r="X8" s="439"/>
      <c r="Y8" s="439"/>
      <c r="Z8" s="439"/>
      <c r="AA8" s="439"/>
      <c r="AB8" s="439"/>
      <c r="AC8" s="441"/>
      <c r="AD8" s="203"/>
      <c r="AE8" s="441"/>
      <c r="AF8" s="203"/>
      <c r="AG8" s="439"/>
      <c r="AH8" s="439"/>
      <c r="AI8" s="439"/>
      <c r="AJ8" s="439"/>
      <c r="AK8" s="439"/>
      <c r="AL8" s="439"/>
      <c r="AM8" s="439"/>
      <c r="AN8" s="441"/>
      <c r="AO8" s="203"/>
      <c r="AP8" s="441"/>
      <c r="AQ8" s="203"/>
      <c r="AR8" s="439"/>
      <c r="AS8" s="439"/>
      <c r="AT8" s="439"/>
      <c r="AU8" s="439"/>
      <c r="AV8" s="439"/>
      <c r="AW8" s="439"/>
      <c r="AX8" s="439"/>
      <c r="AY8" s="441"/>
      <c r="AZ8" s="203"/>
      <c r="BA8" s="441"/>
      <c r="BB8" s="203"/>
      <c r="BC8" s="439"/>
      <c r="BD8" s="439"/>
      <c r="BE8" s="439"/>
      <c r="BF8" s="439"/>
      <c r="BG8" s="439"/>
      <c r="BH8" s="439"/>
      <c r="BI8" s="439"/>
      <c r="BJ8" s="441"/>
      <c r="BK8" s="203"/>
      <c r="BL8" s="441"/>
      <c r="BM8" s="203"/>
      <c r="BN8" s="439"/>
      <c r="BO8" s="439"/>
      <c r="BP8" s="439"/>
      <c r="BQ8" s="439"/>
      <c r="BR8" s="439"/>
      <c r="BS8" s="439"/>
      <c r="BT8" s="439"/>
      <c r="BU8" s="441"/>
      <c r="BV8" s="203"/>
      <c r="BW8" s="441"/>
      <c r="BX8" s="203"/>
      <c r="BY8" s="439"/>
      <c r="BZ8" s="439"/>
      <c r="CA8" s="439"/>
      <c r="CB8" s="439"/>
      <c r="CC8" s="439"/>
      <c r="CD8" s="439"/>
      <c r="CE8" s="439"/>
      <c r="CF8" s="441"/>
      <c r="CG8" s="203"/>
      <c r="CH8" s="441"/>
      <c r="CI8" s="203"/>
      <c r="CJ8" s="439"/>
      <c r="CK8" s="439"/>
      <c r="CL8" s="439"/>
      <c r="CM8" s="439"/>
      <c r="CN8" s="439"/>
      <c r="CO8" s="439"/>
      <c r="CP8" s="439"/>
      <c r="CQ8" s="441"/>
      <c r="CR8" s="203"/>
      <c r="CS8" s="441"/>
      <c r="CT8" s="203"/>
      <c r="CU8" s="439"/>
      <c r="CV8" s="439"/>
      <c r="CW8" s="439"/>
      <c r="CX8" s="439"/>
      <c r="CY8" s="439"/>
      <c r="CZ8" s="439"/>
      <c r="DA8" s="439"/>
      <c r="DB8" s="441"/>
      <c r="DC8" s="203"/>
      <c r="DD8" s="441"/>
      <c r="DE8" s="203"/>
      <c r="DF8" s="439"/>
      <c r="DG8" s="439"/>
      <c r="DH8" s="439"/>
      <c r="DI8" s="439"/>
      <c r="DJ8" s="439"/>
      <c r="DK8" s="439"/>
      <c r="DL8" s="439"/>
      <c r="DM8" s="441"/>
      <c r="DN8" s="203"/>
      <c r="DO8" s="441"/>
      <c r="DP8" s="203"/>
      <c r="DQ8" s="439"/>
      <c r="DR8" s="439"/>
      <c r="DS8" s="439"/>
      <c r="DT8" s="439"/>
      <c r="DU8" s="439"/>
      <c r="DV8" s="439"/>
      <c r="DW8" s="439"/>
      <c r="DX8" s="441"/>
      <c r="DY8" s="203"/>
      <c r="DZ8" s="441"/>
      <c r="EA8" s="203"/>
      <c r="EB8" s="439"/>
      <c r="EC8" s="439"/>
      <c r="ED8" s="439"/>
      <c r="EE8" s="439"/>
      <c r="EF8" s="439"/>
      <c r="EG8" s="439"/>
      <c r="EH8" s="439"/>
      <c r="EI8" s="441"/>
      <c r="EJ8" s="203"/>
      <c r="EK8" s="441"/>
      <c r="EL8" s="203"/>
      <c r="EM8" s="565"/>
      <c r="EN8" s="564"/>
      <c r="EP8" s="117"/>
      <c r="EQ8" s="117" t="str">
        <f aca="false">IF(T8="","",T8)</f>
        <v/>
      </c>
      <c r="ER8" s="117"/>
      <c r="ES8" s="117"/>
    </row>
    <row r="9" customFormat="false" ht="21" hidden="true" customHeight="true" outlineLevel="0" collapsed="false">
      <c r="A9" s="415"/>
      <c r="B9" s="415"/>
      <c r="C9" s="415"/>
      <c r="D9" s="415"/>
      <c r="E9" s="416"/>
      <c r="F9" s="416"/>
      <c r="G9" s="416"/>
      <c r="H9" s="416"/>
      <c r="I9" s="431"/>
      <c r="J9" s="431"/>
      <c r="K9" s="415"/>
      <c r="L9" s="417"/>
      <c r="P9" s="120"/>
      <c r="Q9" s="120"/>
      <c r="R9" s="432"/>
      <c r="S9" s="444"/>
      <c r="T9" s="447" t="s">
        <v>500</v>
      </c>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193"/>
      <c r="BK9" s="193"/>
      <c r="BL9" s="193"/>
      <c r="BM9" s="193"/>
      <c r="BN9" s="193"/>
      <c r="BO9" s="193"/>
      <c r="BP9" s="193"/>
      <c r="BQ9" s="193"/>
      <c r="BR9" s="193"/>
      <c r="BS9" s="193"/>
      <c r="BT9" s="193"/>
      <c r="BU9" s="193"/>
      <c r="BV9" s="193"/>
      <c r="BW9" s="193"/>
      <c r="BX9" s="193"/>
      <c r="BY9" s="193"/>
      <c r="BZ9" s="193"/>
      <c r="CA9" s="193"/>
      <c r="CB9" s="193"/>
      <c r="CC9" s="193"/>
      <c r="CD9" s="193"/>
      <c r="CE9" s="193"/>
      <c r="CF9" s="193"/>
      <c r="CG9" s="193"/>
      <c r="CH9" s="193"/>
      <c r="CI9" s="193"/>
      <c r="CJ9" s="193"/>
      <c r="CK9" s="193"/>
      <c r="CL9" s="193"/>
      <c r="CM9" s="193"/>
      <c r="CN9" s="193"/>
      <c r="CO9" s="193"/>
      <c r="CP9" s="193"/>
      <c r="CQ9" s="193"/>
      <c r="CR9" s="193"/>
      <c r="CS9" s="193"/>
      <c r="CT9" s="193"/>
      <c r="CU9" s="193"/>
      <c r="CV9" s="193"/>
      <c r="CW9" s="193"/>
      <c r="CX9" s="193"/>
      <c r="CY9" s="193"/>
      <c r="CZ9" s="193"/>
      <c r="DA9" s="193"/>
      <c r="DB9" s="193"/>
      <c r="DC9" s="193"/>
      <c r="DD9" s="193"/>
      <c r="DE9" s="193"/>
      <c r="DF9" s="193"/>
      <c r="DG9" s="193"/>
      <c r="DH9" s="193"/>
      <c r="DI9" s="193"/>
      <c r="DJ9" s="193"/>
      <c r="DK9" s="193"/>
      <c r="DL9" s="193"/>
      <c r="DM9" s="193"/>
      <c r="DN9" s="193"/>
      <c r="DO9" s="193"/>
      <c r="DP9" s="193"/>
      <c r="DQ9" s="193"/>
      <c r="DR9" s="193"/>
      <c r="DS9" s="193"/>
      <c r="DT9" s="193"/>
      <c r="DU9" s="193"/>
      <c r="DV9" s="193"/>
      <c r="DW9" s="193"/>
      <c r="DX9" s="193"/>
      <c r="DY9" s="193"/>
      <c r="DZ9" s="193"/>
      <c r="EA9" s="193"/>
      <c r="EB9" s="193"/>
      <c r="EC9" s="193"/>
      <c r="ED9" s="193"/>
      <c r="EE9" s="193"/>
      <c r="EF9" s="193"/>
      <c r="EG9" s="193"/>
      <c r="EH9" s="193"/>
      <c r="EI9" s="193"/>
      <c r="EJ9" s="193"/>
      <c r="EK9" s="193"/>
      <c r="EL9" s="193"/>
      <c r="EM9" s="193"/>
      <c r="EN9" s="424" t="s">
        <v>501</v>
      </c>
      <c r="EP9" s="117"/>
      <c r="EQ9" s="117" t="str">
        <f aca="false">IF(T9="","",T9)</f>
        <v>Добавить значение признака дифференциации</v>
      </c>
      <c r="ER9" s="117"/>
      <c r="ES9" s="117"/>
    </row>
    <row r="10" customFormat="false" ht="21" hidden="true" customHeight="true" outlineLevel="0" collapsed="false">
      <c r="A10" s="415"/>
      <c r="B10" s="415"/>
      <c r="C10" s="415"/>
      <c r="D10" s="415"/>
      <c r="E10" s="416"/>
      <c r="F10" s="416"/>
      <c r="G10" s="416"/>
      <c r="H10" s="416"/>
      <c r="I10" s="431"/>
      <c r="J10" s="415"/>
      <c r="K10" s="415"/>
      <c r="L10" s="417"/>
      <c r="P10" s="120"/>
      <c r="Q10" s="120"/>
      <c r="R10" s="432"/>
      <c r="S10" s="444"/>
      <c r="T10" s="451" t="s">
        <v>428</v>
      </c>
      <c r="U10" s="193"/>
      <c r="V10" s="193"/>
      <c r="W10" s="193"/>
      <c r="X10" s="193"/>
      <c r="Y10" s="193"/>
      <c r="Z10" s="193"/>
      <c r="AA10" s="193"/>
      <c r="AB10" s="193"/>
      <c r="AC10" s="193"/>
      <c r="AD10" s="193"/>
      <c r="AE10" s="193"/>
      <c r="AF10" s="448"/>
      <c r="AG10" s="193"/>
      <c r="AH10" s="193"/>
      <c r="AI10" s="193"/>
      <c r="AJ10" s="193"/>
      <c r="AK10" s="193"/>
      <c r="AL10" s="193"/>
      <c r="AM10" s="193"/>
      <c r="AN10" s="193"/>
      <c r="AO10" s="193"/>
      <c r="AP10" s="193"/>
      <c r="AQ10" s="448"/>
      <c r="AR10" s="193"/>
      <c r="AS10" s="193"/>
      <c r="AT10" s="193"/>
      <c r="AU10" s="193"/>
      <c r="AV10" s="193"/>
      <c r="AW10" s="193"/>
      <c r="AX10" s="193"/>
      <c r="AY10" s="193"/>
      <c r="AZ10" s="193"/>
      <c r="BA10" s="193"/>
      <c r="BB10" s="448"/>
      <c r="BC10" s="193"/>
      <c r="BD10" s="193"/>
      <c r="BE10" s="193"/>
      <c r="BF10" s="193"/>
      <c r="BG10" s="193"/>
      <c r="BH10" s="193"/>
      <c r="BI10" s="193"/>
      <c r="BJ10" s="193"/>
      <c r="BK10" s="193"/>
      <c r="BL10" s="193"/>
      <c r="BM10" s="448"/>
      <c r="BN10" s="193"/>
      <c r="BO10" s="193"/>
      <c r="BP10" s="193"/>
      <c r="BQ10" s="193"/>
      <c r="BR10" s="193"/>
      <c r="BS10" s="193"/>
      <c r="BT10" s="193"/>
      <c r="BU10" s="193"/>
      <c r="BV10" s="193"/>
      <c r="BW10" s="193"/>
      <c r="BX10" s="448"/>
      <c r="BY10" s="193"/>
      <c r="BZ10" s="193"/>
      <c r="CA10" s="193"/>
      <c r="CB10" s="193"/>
      <c r="CC10" s="193"/>
      <c r="CD10" s="193"/>
      <c r="CE10" s="193"/>
      <c r="CF10" s="193"/>
      <c r="CG10" s="193"/>
      <c r="CH10" s="193"/>
      <c r="CI10" s="448"/>
      <c r="CJ10" s="193"/>
      <c r="CK10" s="193"/>
      <c r="CL10" s="193"/>
      <c r="CM10" s="193"/>
      <c r="CN10" s="193"/>
      <c r="CO10" s="193"/>
      <c r="CP10" s="193"/>
      <c r="CQ10" s="193"/>
      <c r="CR10" s="193"/>
      <c r="CS10" s="193"/>
      <c r="CT10" s="448"/>
      <c r="CU10" s="193"/>
      <c r="CV10" s="193"/>
      <c r="CW10" s="193"/>
      <c r="CX10" s="193"/>
      <c r="CY10" s="193"/>
      <c r="CZ10" s="193"/>
      <c r="DA10" s="193"/>
      <c r="DB10" s="193"/>
      <c r="DC10" s="193"/>
      <c r="DD10" s="193"/>
      <c r="DE10" s="448"/>
      <c r="DF10" s="193"/>
      <c r="DG10" s="193"/>
      <c r="DH10" s="193"/>
      <c r="DI10" s="193"/>
      <c r="DJ10" s="193"/>
      <c r="DK10" s="193"/>
      <c r="DL10" s="193"/>
      <c r="DM10" s="193"/>
      <c r="DN10" s="193"/>
      <c r="DO10" s="193"/>
      <c r="DP10" s="448"/>
      <c r="DQ10" s="193"/>
      <c r="DR10" s="193"/>
      <c r="DS10" s="193"/>
      <c r="DT10" s="193"/>
      <c r="DU10" s="193"/>
      <c r="DV10" s="193"/>
      <c r="DW10" s="193"/>
      <c r="DX10" s="193"/>
      <c r="DY10" s="193"/>
      <c r="DZ10" s="193"/>
      <c r="EA10" s="448"/>
      <c r="EB10" s="193"/>
      <c r="EC10" s="193"/>
      <c r="ED10" s="193"/>
      <c r="EE10" s="193"/>
      <c r="EF10" s="193"/>
      <c r="EG10" s="193"/>
      <c r="EH10" s="193"/>
      <c r="EI10" s="193"/>
      <c r="EJ10" s="193"/>
      <c r="EK10" s="193"/>
      <c r="EL10" s="448"/>
      <c r="EM10" s="193"/>
      <c r="EN10" s="566"/>
      <c r="EP10" s="117"/>
      <c r="EQ10" s="117" t="str">
        <f aca="false">IF(T10="","",T10)</f>
        <v>Добавить группу потребителей</v>
      </c>
      <c r="ER10" s="117"/>
      <c r="ES10" s="117"/>
    </row>
    <row r="11" customFormat="false" ht="21" hidden="true" customHeight="true" outlineLevel="0" collapsed="false">
      <c r="A11" s="415"/>
      <c r="B11" s="415"/>
      <c r="C11" s="415"/>
      <c r="D11" s="415"/>
      <c r="E11" s="416"/>
      <c r="F11" s="416"/>
      <c r="G11" s="416"/>
      <c r="H11" s="560"/>
      <c r="I11" s="415"/>
      <c r="J11" s="415"/>
      <c r="K11" s="415"/>
      <c r="L11" s="417"/>
      <c r="M11" s="40"/>
      <c r="N11" s="40"/>
      <c r="O11" s="45"/>
      <c r="P11" s="131"/>
      <c r="Q11" s="450"/>
      <c r="R11" s="418"/>
      <c r="S11" s="444"/>
      <c r="T11" s="567" t="s">
        <v>502</v>
      </c>
      <c r="U11" s="193"/>
      <c r="V11" s="193"/>
      <c r="W11" s="193"/>
      <c r="X11" s="193"/>
      <c r="Y11" s="193"/>
      <c r="Z11" s="193"/>
      <c r="AA11" s="193"/>
      <c r="AB11" s="193"/>
      <c r="AC11" s="193"/>
      <c r="AD11" s="193"/>
      <c r="AE11" s="193"/>
      <c r="AF11" s="448"/>
      <c r="AG11" s="193"/>
      <c r="AH11" s="193"/>
      <c r="AI11" s="193"/>
      <c r="AJ11" s="193"/>
      <c r="AK11" s="193"/>
      <c r="AL11" s="193"/>
      <c r="AM11" s="193"/>
      <c r="AN11" s="193"/>
      <c r="AO11" s="193"/>
      <c r="AP11" s="193"/>
      <c r="AQ11" s="448"/>
      <c r="AR11" s="193"/>
      <c r="AS11" s="193"/>
      <c r="AT11" s="193"/>
      <c r="AU11" s="193"/>
      <c r="AV11" s="193"/>
      <c r="AW11" s="193"/>
      <c r="AX11" s="193"/>
      <c r="AY11" s="193"/>
      <c r="AZ11" s="193"/>
      <c r="BA11" s="193"/>
      <c r="BB11" s="448"/>
      <c r="BC11" s="193"/>
      <c r="BD11" s="193"/>
      <c r="BE11" s="193"/>
      <c r="BF11" s="193"/>
      <c r="BG11" s="193"/>
      <c r="BH11" s="193"/>
      <c r="BI11" s="193"/>
      <c r="BJ11" s="193"/>
      <c r="BK11" s="193"/>
      <c r="BL11" s="193"/>
      <c r="BM11" s="448"/>
      <c r="BN11" s="193"/>
      <c r="BO11" s="193"/>
      <c r="BP11" s="193"/>
      <c r="BQ11" s="193"/>
      <c r="BR11" s="193"/>
      <c r="BS11" s="193"/>
      <c r="BT11" s="193"/>
      <c r="BU11" s="193"/>
      <c r="BV11" s="193"/>
      <c r="BW11" s="193"/>
      <c r="BX11" s="448"/>
      <c r="BY11" s="193"/>
      <c r="BZ11" s="193"/>
      <c r="CA11" s="193"/>
      <c r="CB11" s="193"/>
      <c r="CC11" s="193"/>
      <c r="CD11" s="193"/>
      <c r="CE11" s="193"/>
      <c r="CF11" s="193"/>
      <c r="CG11" s="193"/>
      <c r="CH11" s="193"/>
      <c r="CI11" s="448"/>
      <c r="CJ11" s="193"/>
      <c r="CK11" s="193"/>
      <c r="CL11" s="193"/>
      <c r="CM11" s="193"/>
      <c r="CN11" s="193"/>
      <c r="CO11" s="193"/>
      <c r="CP11" s="193"/>
      <c r="CQ11" s="193"/>
      <c r="CR11" s="193"/>
      <c r="CS11" s="193"/>
      <c r="CT11" s="448"/>
      <c r="CU11" s="193"/>
      <c r="CV11" s="193"/>
      <c r="CW11" s="193"/>
      <c r="CX11" s="193"/>
      <c r="CY11" s="193"/>
      <c r="CZ11" s="193"/>
      <c r="DA11" s="193"/>
      <c r="DB11" s="193"/>
      <c r="DC11" s="193"/>
      <c r="DD11" s="193"/>
      <c r="DE11" s="448"/>
      <c r="DF11" s="193"/>
      <c r="DG11" s="193"/>
      <c r="DH11" s="193"/>
      <c r="DI11" s="193"/>
      <c r="DJ11" s="193"/>
      <c r="DK11" s="193"/>
      <c r="DL11" s="193"/>
      <c r="DM11" s="193"/>
      <c r="DN11" s="193"/>
      <c r="DO11" s="193"/>
      <c r="DP11" s="448"/>
      <c r="DQ11" s="193"/>
      <c r="DR11" s="193"/>
      <c r="DS11" s="193"/>
      <c r="DT11" s="193"/>
      <c r="DU11" s="193"/>
      <c r="DV11" s="193"/>
      <c r="DW11" s="193"/>
      <c r="DX11" s="193"/>
      <c r="DY11" s="193"/>
      <c r="DZ11" s="193"/>
      <c r="EA11" s="448"/>
      <c r="EB11" s="193"/>
      <c r="EC11" s="193"/>
      <c r="ED11" s="193"/>
      <c r="EE11" s="193"/>
      <c r="EF11" s="193"/>
      <c r="EG11" s="193"/>
      <c r="EH11" s="193"/>
      <c r="EI11" s="193"/>
      <c r="EJ11" s="193"/>
      <c r="EK11" s="193"/>
      <c r="EL11" s="448"/>
      <c r="EM11" s="193"/>
      <c r="EN11" s="449"/>
      <c r="EP11" s="117"/>
      <c r="EQ11" s="117" t="str">
        <f aca="false">IF(T11="","",T11)</f>
        <v>Добавить наименование признака дифференциации</v>
      </c>
      <c r="ER11" s="117"/>
      <c r="ES11" s="117"/>
    </row>
    <row r="12" s="47" customFormat="true" ht="14.25" hidden="true" customHeight="true" outlineLevel="0" collapsed="false">
      <c r="A12" s="121"/>
      <c r="B12" s="121"/>
      <c r="C12" s="121"/>
      <c r="D12" s="121"/>
      <c r="E12" s="416"/>
      <c r="F12" s="416"/>
      <c r="G12" s="121"/>
      <c r="H12" s="121"/>
      <c r="I12" s="121"/>
      <c r="J12" s="121"/>
      <c r="K12" s="121"/>
      <c r="L12" s="191"/>
      <c r="M12" s="456"/>
      <c r="N12" s="456"/>
      <c r="P12" s="155"/>
      <c r="Q12" s="452"/>
      <c r="R12" s="155"/>
      <c r="S12" s="457"/>
      <c r="T12" s="460" t="s">
        <v>261</v>
      </c>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c r="DA12" s="459"/>
      <c r="DB12" s="459"/>
      <c r="DC12" s="459"/>
      <c r="DD12" s="459"/>
      <c r="DE12" s="459"/>
      <c r="DF12" s="459"/>
      <c r="DG12" s="459"/>
      <c r="DH12" s="459"/>
      <c r="DI12" s="459"/>
      <c r="DJ12" s="459"/>
      <c r="DK12" s="459"/>
      <c r="DL12" s="459"/>
      <c r="DM12" s="459"/>
      <c r="DN12" s="459"/>
      <c r="DO12" s="459"/>
      <c r="DP12" s="459"/>
      <c r="DQ12" s="459"/>
      <c r="DR12" s="459"/>
      <c r="DS12" s="459"/>
      <c r="DT12" s="459"/>
      <c r="DU12" s="459"/>
      <c r="DV12" s="459"/>
      <c r="DW12" s="459"/>
      <c r="DX12" s="459"/>
      <c r="DY12" s="459"/>
      <c r="DZ12" s="459"/>
      <c r="EA12" s="459"/>
      <c r="EB12" s="459"/>
      <c r="EC12" s="459"/>
      <c r="ED12" s="459"/>
      <c r="EE12" s="459"/>
      <c r="EF12" s="459"/>
      <c r="EG12" s="459"/>
      <c r="EH12" s="459"/>
      <c r="EI12" s="459"/>
      <c r="EJ12" s="459"/>
      <c r="EK12" s="459"/>
      <c r="EL12" s="459"/>
      <c r="EM12" s="459"/>
      <c r="EN12" s="459"/>
      <c r="EP12" s="117"/>
      <c r="EQ12" s="117" t="str">
        <f aca="false">IF(T12="","",T12)</f>
        <v>Добавить централизованную систему для дифференциации</v>
      </c>
      <c r="ER12" s="117"/>
      <c r="ES12" s="117"/>
    </row>
    <row r="13" s="47" customFormat="true" ht="14.25" hidden="true" customHeight="true" outlineLevel="0" collapsed="false">
      <c r="A13" s="121"/>
      <c r="B13" s="121"/>
      <c r="C13" s="121"/>
      <c r="D13" s="121"/>
      <c r="E13" s="416"/>
      <c r="F13" s="121"/>
      <c r="G13" s="121"/>
      <c r="H13" s="121"/>
      <c r="I13" s="121"/>
      <c r="J13" s="121"/>
      <c r="K13" s="121"/>
      <c r="L13" s="191"/>
      <c r="M13" s="456"/>
      <c r="N13" s="456"/>
      <c r="P13" s="155"/>
      <c r="Q13" s="452"/>
      <c r="R13" s="155"/>
      <c r="S13" s="457"/>
      <c r="T13" s="460" t="s">
        <v>268</v>
      </c>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59"/>
      <c r="BE13" s="459"/>
      <c r="BF13" s="459"/>
      <c r="BG13" s="459"/>
      <c r="BH13" s="459"/>
      <c r="BI13" s="459"/>
      <c r="BJ13" s="459"/>
      <c r="BK13" s="459"/>
      <c r="BL13" s="459"/>
      <c r="BM13" s="459"/>
      <c r="BN13" s="459"/>
      <c r="BO13" s="459"/>
      <c r="BP13" s="459"/>
      <c r="BQ13" s="459"/>
      <c r="BR13" s="459"/>
      <c r="BS13" s="459"/>
      <c r="BT13" s="459"/>
      <c r="BU13" s="459"/>
      <c r="BV13" s="459"/>
      <c r="BW13" s="459"/>
      <c r="BX13" s="459"/>
      <c r="BY13" s="459"/>
      <c r="BZ13" s="459"/>
      <c r="CA13" s="459"/>
      <c r="CB13" s="459"/>
      <c r="CC13" s="459"/>
      <c r="CD13" s="459"/>
      <c r="CE13" s="459"/>
      <c r="CF13" s="459"/>
      <c r="CG13" s="459"/>
      <c r="CH13" s="459"/>
      <c r="CI13" s="459"/>
      <c r="CJ13" s="459"/>
      <c r="CK13" s="459"/>
      <c r="CL13" s="459"/>
      <c r="CM13" s="459"/>
      <c r="CN13" s="459"/>
      <c r="CO13" s="459"/>
      <c r="CP13" s="459"/>
      <c r="CQ13" s="459"/>
      <c r="CR13" s="459"/>
      <c r="CS13" s="459"/>
      <c r="CT13" s="459"/>
      <c r="CU13" s="459"/>
      <c r="CV13" s="459"/>
      <c r="CW13" s="459"/>
      <c r="CX13" s="459"/>
      <c r="CY13" s="459"/>
      <c r="CZ13" s="459"/>
      <c r="DA13" s="459"/>
      <c r="DB13" s="459"/>
      <c r="DC13" s="459"/>
      <c r="DD13" s="459"/>
      <c r="DE13" s="459"/>
      <c r="DF13" s="459"/>
      <c r="DG13" s="459"/>
      <c r="DH13" s="459"/>
      <c r="DI13" s="459"/>
      <c r="DJ13" s="459"/>
      <c r="DK13" s="459"/>
      <c r="DL13" s="459"/>
      <c r="DM13" s="459"/>
      <c r="DN13" s="459"/>
      <c r="DO13" s="459"/>
      <c r="DP13" s="459"/>
      <c r="DQ13" s="459"/>
      <c r="DR13" s="459"/>
      <c r="DS13" s="459"/>
      <c r="DT13" s="459"/>
      <c r="DU13" s="459"/>
      <c r="DV13" s="459"/>
      <c r="DW13" s="459"/>
      <c r="DX13" s="459"/>
      <c r="DY13" s="459"/>
      <c r="DZ13" s="459"/>
      <c r="EA13" s="459"/>
      <c r="EB13" s="459"/>
      <c r="EC13" s="459"/>
      <c r="ED13" s="459"/>
      <c r="EE13" s="459"/>
      <c r="EF13" s="459"/>
      <c r="EG13" s="459"/>
      <c r="EH13" s="459"/>
      <c r="EI13" s="459"/>
      <c r="EJ13" s="459"/>
      <c r="EK13" s="459"/>
      <c r="EL13" s="459"/>
      <c r="EM13" s="459"/>
      <c r="EN13" s="459"/>
      <c r="EP13" s="117"/>
      <c r="EQ13" s="117" t="str">
        <f aca="false">IF(T13="","",T13)</f>
        <v>Добавить территорию для дифференциации</v>
      </c>
      <c r="ER13" s="117"/>
      <c r="ES13" s="117"/>
    </row>
    <row r="14" customFormat="false" ht="14.25" hidden="true" customHeight="true" outlineLevel="0" collapsed="false">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row>
    <row r="15" customFormat="false" ht="14.25" hidden="true" customHeight="true" outlineLevel="0" collapsed="false">
      <c r="AG15" s="461"/>
      <c r="AH15" s="461"/>
      <c r="AI15" s="461"/>
      <c r="AJ15" s="461"/>
      <c r="AK15" s="461"/>
      <c r="AL15" s="461"/>
      <c r="AM15" s="461"/>
      <c r="AN15" s="463"/>
      <c r="AO15" s="464" t="s">
        <v>63</v>
      </c>
      <c r="AP15" s="463"/>
      <c r="AQ15" s="464" t="s">
        <v>63</v>
      </c>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row>
    <row r="16" customFormat="false" ht="14.25" hidden="true" customHeight="true" outlineLevel="0" collapsed="false">
      <c r="AG16" s="461"/>
      <c r="AH16" s="461"/>
      <c r="AI16" s="461"/>
      <c r="AJ16" s="461"/>
      <c r="AK16" s="461"/>
      <c r="AL16" s="461"/>
      <c r="AM16" s="461"/>
      <c r="AN16" s="463"/>
      <c r="AO16" s="463"/>
      <c r="AP16" s="463"/>
      <c r="AQ16" s="463"/>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row>
    <row r="17" customFormat="false" ht="14.25" hidden="true" customHeight="true" outlineLevel="0" collapsed="false">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row>
    <row r="18" s="45" customFormat="true" ht="22.5" hidden="true" customHeight="true" outlineLevel="0" collapsed="false">
      <c r="L18" s="44"/>
      <c r="M18" s="51"/>
      <c r="N18" s="51"/>
      <c r="O18" s="465" t="s">
        <v>431</v>
      </c>
      <c r="P18" s="51"/>
      <c r="Q18" s="466"/>
      <c r="R18" s="466"/>
      <c r="S18" s="40"/>
      <c r="AC18" s="465"/>
      <c r="AE18" s="465"/>
      <c r="AN18" s="465"/>
      <c r="AP18" s="465"/>
      <c r="AY18" s="465"/>
      <c r="BA18" s="465"/>
      <c r="BJ18" s="465"/>
      <c r="BL18" s="465"/>
      <c r="BU18" s="465"/>
      <c r="BW18" s="465"/>
      <c r="CF18" s="465"/>
      <c r="CH18" s="465"/>
      <c r="CQ18" s="465"/>
      <c r="CS18" s="465"/>
      <c r="DB18" s="465"/>
      <c r="DD18" s="465"/>
      <c r="DM18" s="465"/>
      <c r="DO18" s="465"/>
      <c r="DX18" s="465"/>
      <c r="DZ18" s="465"/>
      <c r="EI18" s="465"/>
      <c r="EK18" s="465"/>
      <c r="EO18" s="47"/>
      <c r="EP18" s="47"/>
      <c r="EQ18" s="47"/>
      <c r="ER18" s="47"/>
      <c r="ES18" s="47"/>
    </row>
    <row r="19" s="45" customFormat="true" ht="14.25" hidden="true" customHeight="true" outlineLevel="0" collapsed="false">
      <c r="L19" s="44"/>
      <c r="M19" s="51"/>
      <c r="N19" s="51"/>
      <c r="O19" s="51"/>
      <c r="P19" s="51"/>
      <c r="Q19" s="466"/>
      <c r="R19" s="466"/>
      <c r="S19" s="40"/>
      <c r="EO19" s="47"/>
      <c r="EP19" s="47"/>
      <c r="EQ19" s="47"/>
      <c r="ER19" s="47"/>
      <c r="ES19" s="47"/>
    </row>
    <row r="20" s="45" customFormat="true" ht="12" hidden="true" customHeight="true" outlineLevel="0" collapsed="false">
      <c r="L20" s="44"/>
      <c r="M20" s="51"/>
      <c r="N20" s="51"/>
      <c r="O20" s="417" t="s">
        <v>432</v>
      </c>
      <c r="P20" s="51"/>
      <c r="Q20" s="568"/>
      <c r="R20" s="568"/>
      <c r="S20" s="40"/>
      <c r="T20" s="45" t="s">
        <v>433</v>
      </c>
      <c r="AD20" s="139" t="s">
        <v>434</v>
      </c>
      <c r="AF20" s="139" t="s">
        <v>435</v>
      </c>
      <c r="AG20" s="45" t="s">
        <v>433</v>
      </c>
      <c r="AO20" s="139" t="s">
        <v>436</v>
      </c>
      <c r="AQ20" s="139" t="s">
        <v>435</v>
      </c>
      <c r="AZ20" s="139" t="s">
        <v>434</v>
      </c>
      <c r="BB20" s="139" t="s">
        <v>435</v>
      </c>
      <c r="BK20" s="139" t="s">
        <v>434</v>
      </c>
      <c r="BM20" s="139" t="s">
        <v>435</v>
      </c>
      <c r="BV20" s="139" t="s">
        <v>434</v>
      </c>
      <c r="BX20" s="139" t="s">
        <v>435</v>
      </c>
      <c r="CG20" s="139" t="s">
        <v>434</v>
      </c>
      <c r="CI20" s="139" t="s">
        <v>435</v>
      </c>
      <c r="CR20" s="139" t="s">
        <v>434</v>
      </c>
      <c r="CT20" s="139" t="s">
        <v>435</v>
      </c>
      <c r="DC20" s="139" t="s">
        <v>434</v>
      </c>
      <c r="DE20" s="139" t="s">
        <v>435</v>
      </c>
      <c r="DN20" s="139" t="s">
        <v>434</v>
      </c>
      <c r="DP20" s="139" t="s">
        <v>435</v>
      </c>
      <c r="DY20" s="139" t="s">
        <v>434</v>
      </c>
      <c r="EA20" s="139" t="s">
        <v>435</v>
      </c>
      <c r="EJ20" s="139" t="s">
        <v>434</v>
      </c>
      <c r="EL20" s="139" t="s">
        <v>435</v>
      </c>
    </row>
    <row r="21" customFormat="false" ht="14.25" hidden="true" customHeight="true" outlineLevel="0" collapsed="false">
      <c r="O21" s="417"/>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row>
    <row r="22" customFormat="false" ht="14.25" hidden="true" customHeight="true" outlineLevel="0" collapsed="false">
      <c r="O22" s="417"/>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row>
    <row r="23" customFormat="false" ht="14.25" hidden="false" customHeight="true" outlineLevel="0" collapsed="false">
      <c r="Q23" s="467"/>
      <c r="R23" s="467"/>
      <c r="S23" s="468"/>
      <c r="T23" s="79"/>
      <c r="U23" s="79"/>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row>
    <row r="24" customFormat="false" ht="24.75" hidden="false" customHeight="true" outlineLevel="0" collapsed="false">
      <c r="Q24" s="467"/>
      <c r="R24" s="467"/>
      <c r="S24" s="212" t="str">
        <f aca="false">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4"/>
      <c r="AR24" s="389"/>
      <c r="AS24" s="389"/>
      <c r="AT24" s="389"/>
      <c r="AU24" s="389"/>
      <c r="AV24" s="389"/>
      <c r="AW24" s="389"/>
      <c r="AX24" s="389"/>
      <c r="AY24" s="389"/>
      <c r="AZ24" s="389"/>
      <c r="BA24" s="389"/>
      <c r="BB24" s="389"/>
      <c r="BC24" s="389"/>
      <c r="BD24" s="389"/>
      <c r="BE24" s="389"/>
      <c r="BF24" s="389"/>
      <c r="BG24" s="389"/>
      <c r="BH24" s="389"/>
      <c r="BI24" s="389"/>
      <c r="BJ24" s="389"/>
      <c r="BK24" s="389"/>
      <c r="BL24" s="389"/>
      <c r="BM24" s="389"/>
      <c r="BN24" s="389"/>
      <c r="BO24" s="389"/>
      <c r="BP24" s="389"/>
      <c r="BQ24" s="389"/>
      <c r="BR24" s="389"/>
      <c r="BS24" s="389"/>
      <c r="BT24" s="389"/>
      <c r="BU24" s="389"/>
      <c r="BV24" s="389"/>
      <c r="BW24" s="389"/>
      <c r="BX24" s="389"/>
      <c r="BY24" s="389"/>
      <c r="BZ24" s="389"/>
      <c r="CA24" s="389"/>
      <c r="CB24" s="389"/>
      <c r="CC24" s="389"/>
      <c r="CD24" s="389"/>
      <c r="CE24" s="389"/>
      <c r="CF24" s="389"/>
      <c r="CG24" s="389"/>
      <c r="CH24" s="389"/>
      <c r="CI24" s="389"/>
      <c r="CJ24" s="389"/>
      <c r="CK24" s="389"/>
      <c r="CL24" s="389"/>
      <c r="CM24" s="389"/>
      <c r="CN24" s="389"/>
      <c r="CO24" s="389"/>
      <c r="CP24" s="389"/>
      <c r="CQ24" s="389"/>
      <c r="CR24" s="389"/>
      <c r="CS24" s="389"/>
      <c r="CT24" s="389"/>
      <c r="CU24" s="389"/>
      <c r="CV24" s="389"/>
      <c r="CW24" s="389"/>
      <c r="CX24" s="389"/>
      <c r="CY24" s="389"/>
      <c r="CZ24" s="389"/>
      <c r="DA24" s="389"/>
      <c r="DB24" s="389"/>
      <c r="DC24" s="389"/>
      <c r="DD24" s="389"/>
      <c r="DE24" s="389"/>
      <c r="DF24" s="389"/>
      <c r="DG24" s="389"/>
      <c r="DH24" s="389"/>
      <c r="DI24" s="389"/>
      <c r="DJ24" s="389"/>
      <c r="DK24" s="389"/>
      <c r="DL24" s="389"/>
      <c r="DM24" s="389"/>
      <c r="DN24" s="389"/>
      <c r="DO24" s="389"/>
      <c r="DP24" s="389"/>
      <c r="DQ24" s="389"/>
      <c r="DR24" s="389"/>
      <c r="DS24" s="389"/>
      <c r="DT24" s="389"/>
      <c r="DU24" s="389"/>
      <c r="DV24" s="389"/>
      <c r="DW24" s="389"/>
      <c r="DX24" s="389"/>
      <c r="DY24" s="389"/>
      <c r="DZ24" s="389"/>
      <c r="EA24" s="389"/>
      <c r="EB24" s="389"/>
      <c r="EC24" s="389"/>
      <c r="ED24" s="389"/>
      <c r="EE24" s="389"/>
      <c r="EF24" s="389"/>
      <c r="EG24" s="389"/>
      <c r="EH24" s="389"/>
      <c r="EI24" s="389"/>
      <c r="EJ24" s="389"/>
      <c r="EK24" s="389"/>
      <c r="EL24" s="389"/>
    </row>
    <row r="25" customFormat="false" ht="14.25" hidden="false" customHeight="true" outlineLevel="0" collapsed="false">
      <c r="Q25" s="467"/>
      <c r="R25" s="467"/>
      <c r="S25" s="265" t="str">
        <f aca="false">IF(org=0,"Не определено",org)</f>
        <v>ООО "Газпром теплоэнерго Ярославль"</v>
      </c>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14"/>
      <c r="AR25" s="588"/>
      <c r="AS25" s="588"/>
      <c r="AT25" s="588"/>
      <c r="AU25" s="588"/>
      <c r="AV25" s="588"/>
      <c r="AW25" s="588"/>
      <c r="AX25" s="588"/>
      <c r="AY25" s="588"/>
      <c r="AZ25" s="588"/>
      <c r="BA25" s="588"/>
      <c r="BB25" s="588"/>
      <c r="BC25" s="588"/>
      <c r="BD25" s="588"/>
      <c r="BE25" s="588"/>
      <c r="BF25" s="588"/>
      <c r="BG25" s="588"/>
      <c r="BH25" s="588"/>
      <c r="BI25" s="588"/>
      <c r="BJ25" s="588"/>
      <c r="BK25" s="588"/>
      <c r="BL25" s="588"/>
      <c r="BM25" s="588"/>
      <c r="BN25" s="588"/>
      <c r="BO25" s="588"/>
      <c r="BP25" s="588"/>
      <c r="BQ25" s="588"/>
      <c r="BR25" s="588"/>
      <c r="BS25" s="588"/>
      <c r="BT25" s="588"/>
      <c r="BU25" s="588"/>
      <c r="BV25" s="588"/>
      <c r="BW25" s="588"/>
      <c r="BX25" s="588"/>
      <c r="BY25" s="588"/>
      <c r="BZ25" s="588"/>
      <c r="CA25" s="588"/>
      <c r="CB25" s="588"/>
      <c r="CC25" s="588"/>
      <c r="CD25" s="588"/>
      <c r="CE25" s="588"/>
      <c r="CF25" s="588"/>
      <c r="CG25" s="588"/>
      <c r="CH25" s="588"/>
      <c r="CI25" s="588"/>
      <c r="CJ25" s="588"/>
      <c r="CK25" s="588"/>
      <c r="CL25" s="588"/>
      <c r="CM25" s="588"/>
      <c r="CN25" s="588"/>
      <c r="CO25" s="588"/>
      <c r="CP25" s="588"/>
      <c r="CQ25" s="588"/>
      <c r="CR25" s="588"/>
      <c r="CS25" s="588"/>
      <c r="CT25" s="588"/>
      <c r="CU25" s="588"/>
      <c r="CV25" s="588"/>
      <c r="CW25" s="588"/>
      <c r="CX25" s="588"/>
      <c r="CY25" s="588"/>
      <c r="CZ25" s="588"/>
      <c r="DA25" s="588"/>
      <c r="DB25" s="588"/>
      <c r="DC25" s="588"/>
      <c r="DD25" s="588"/>
      <c r="DE25" s="588"/>
      <c r="DF25" s="588"/>
      <c r="DG25" s="588"/>
      <c r="DH25" s="588"/>
      <c r="DI25" s="588"/>
      <c r="DJ25" s="588"/>
      <c r="DK25" s="588"/>
      <c r="DL25" s="588"/>
      <c r="DM25" s="588"/>
      <c r="DN25" s="588"/>
      <c r="DO25" s="588"/>
      <c r="DP25" s="588"/>
      <c r="DQ25" s="588"/>
      <c r="DR25" s="588"/>
      <c r="DS25" s="588"/>
      <c r="DT25" s="588"/>
      <c r="DU25" s="588"/>
      <c r="DV25" s="588"/>
      <c r="DW25" s="588"/>
      <c r="DX25" s="588"/>
      <c r="DY25" s="588"/>
      <c r="DZ25" s="588"/>
      <c r="EA25" s="588"/>
      <c r="EB25" s="588"/>
      <c r="EC25" s="588"/>
      <c r="ED25" s="588"/>
      <c r="EE25" s="588"/>
      <c r="EF25" s="588"/>
      <c r="EG25" s="588"/>
      <c r="EH25" s="588"/>
      <c r="EI25" s="588"/>
      <c r="EJ25" s="588"/>
      <c r="EK25" s="588"/>
      <c r="EL25" s="588"/>
    </row>
    <row r="26" customFormat="false" ht="14.25" hidden="false" customHeight="true" outlineLevel="0" collapsed="false">
      <c r="Q26" s="467"/>
      <c r="R26" s="467"/>
      <c r="S26" s="468"/>
      <c r="T26" s="79"/>
      <c r="U26" s="79"/>
      <c r="V26" s="469"/>
      <c r="W26" s="469"/>
      <c r="X26" s="469"/>
      <c r="Y26" s="469"/>
      <c r="Z26" s="469"/>
      <c r="AA26" s="469"/>
      <c r="AB26" s="469"/>
      <c r="AC26" s="469"/>
      <c r="AD26" s="469"/>
      <c r="AE26" s="469"/>
      <c r="AF26" s="469"/>
      <c r="AG26" s="469"/>
      <c r="AH26" s="469"/>
      <c r="AI26" s="469"/>
      <c r="AJ26" s="469"/>
      <c r="AK26" s="469"/>
      <c r="AL26" s="469"/>
      <c r="AM26" s="469"/>
      <c r="AN26" s="469"/>
      <c r="AO26" s="469"/>
      <c r="AP26" s="469"/>
      <c r="AQ26" s="469"/>
      <c r="AR26" s="469"/>
      <c r="AS26" s="469"/>
      <c r="AT26" s="469"/>
      <c r="AU26" s="469"/>
      <c r="AV26" s="469"/>
      <c r="AW26" s="469"/>
      <c r="AX26" s="469"/>
      <c r="AY26" s="469"/>
      <c r="AZ26" s="469"/>
      <c r="BA26" s="469"/>
      <c r="BB26" s="469"/>
      <c r="BC26" s="469"/>
      <c r="BD26" s="469"/>
      <c r="BE26" s="469"/>
      <c r="BF26" s="469"/>
      <c r="BG26" s="469"/>
      <c r="BH26" s="469"/>
      <c r="BI26" s="469"/>
      <c r="BJ26" s="469"/>
      <c r="BK26" s="469"/>
      <c r="BL26" s="469"/>
      <c r="BM26" s="469"/>
      <c r="BN26" s="469"/>
      <c r="BO26" s="469"/>
      <c r="BP26" s="469"/>
      <c r="BQ26" s="469"/>
      <c r="BR26" s="469"/>
      <c r="BS26" s="469"/>
      <c r="BT26" s="469"/>
      <c r="BU26" s="469"/>
      <c r="BV26" s="469"/>
      <c r="BW26" s="469"/>
      <c r="BX26" s="469"/>
      <c r="BY26" s="469"/>
      <c r="BZ26" s="469"/>
      <c r="CA26" s="469"/>
      <c r="CB26" s="469"/>
      <c r="CC26" s="469"/>
      <c r="CD26" s="469"/>
      <c r="CE26" s="469"/>
      <c r="CF26" s="469"/>
      <c r="CG26" s="469"/>
      <c r="CH26" s="469"/>
      <c r="CI26" s="469"/>
      <c r="CJ26" s="469"/>
      <c r="CK26" s="469"/>
      <c r="CL26" s="469"/>
      <c r="CM26" s="469"/>
      <c r="CN26" s="469"/>
      <c r="CO26" s="469"/>
      <c r="CP26" s="469"/>
      <c r="CQ26" s="469"/>
      <c r="CR26" s="469"/>
      <c r="CS26" s="469"/>
      <c r="CT26" s="469"/>
      <c r="CU26" s="469"/>
      <c r="CV26" s="469"/>
      <c r="CW26" s="469"/>
      <c r="CX26" s="469"/>
      <c r="CY26" s="469"/>
      <c r="CZ26" s="469"/>
      <c r="DA26" s="469"/>
      <c r="DB26" s="469"/>
      <c r="DC26" s="469"/>
      <c r="DD26" s="469"/>
      <c r="DE26" s="469"/>
      <c r="DF26" s="469"/>
      <c r="DG26" s="469"/>
      <c r="DH26" s="469"/>
      <c r="DI26" s="469"/>
      <c r="DJ26" s="469"/>
      <c r="DK26" s="469"/>
      <c r="DL26" s="469"/>
      <c r="DM26" s="469"/>
      <c r="DN26" s="469"/>
      <c r="DO26" s="469"/>
      <c r="DP26" s="469"/>
      <c r="DQ26" s="469"/>
      <c r="DR26" s="469"/>
      <c r="DS26" s="469"/>
      <c r="DT26" s="469"/>
      <c r="DU26" s="469"/>
      <c r="DV26" s="469"/>
      <c r="DW26" s="469"/>
      <c r="DX26" s="469"/>
      <c r="DY26" s="469"/>
      <c r="DZ26" s="469"/>
      <c r="EA26" s="469"/>
      <c r="EB26" s="469"/>
      <c r="EC26" s="469"/>
      <c r="ED26" s="469"/>
      <c r="EE26" s="469"/>
      <c r="EF26" s="469"/>
      <c r="EG26" s="469"/>
      <c r="EH26" s="469"/>
      <c r="EI26" s="469"/>
      <c r="EJ26" s="469"/>
      <c r="EK26" s="469"/>
      <c r="EL26" s="469"/>
    </row>
    <row r="27" s="174" customFormat="true" ht="25.5" hidden="false" customHeight="true" outlineLevel="0" collapsed="false">
      <c r="A27" s="139"/>
      <c r="B27" s="139"/>
      <c r="C27" s="139"/>
      <c r="D27" s="139"/>
      <c r="E27" s="139"/>
      <c r="F27" s="139"/>
      <c r="G27" s="139"/>
      <c r="H27" s="139"/>
      <c r="I27" s="139"/>
      <c r="J27" s="139"/>
      <c r="K27" s="139"/>
      <c r="L27" s="417"/>
      <c r="M27" s="139"/>
      <c r="N27" s="139"/>
      <c r="O27" s="139"/>
      <c r="S27" s="470" t="s">
        <v>37</v>
      </c>
      <c r="T27" s="470"/>
      <c r="U27" s="471"/>
      <c r="V27" s="472" t="str">
        <f aca="false">IF(TITLE_NAME_OR_PR_CHANGE="",IF(TITLE_NAME_OR_PR="","",TITLE_NAME_OR_PR),TITLE_NAME_OR_PR_CHANGE)</f>
        <v>Министерство тарифного регулирования Ярославской области</v>
      </c>
      <c r="W27" s="472"/>
      <c r="X27" s="472"/>
      <c r="Y27" s="472"/>
      <c r="Z27" s="472"/>
      <c r="AA27" s="472"/>
      <c r="AB27" s="472"/>
      <c r="AC27" s="472"/>
      <c r="AD27" s="472"/>
      <c r="AE27" s="472"/>
      <c r="AF27" s="42"/>
      <c r="AG27" s="472" t="str">
        <f aca="false">IF(TITLE_NAME_OR_PR_CHANGE="",IF(TITLE_NAME_OR_PR="","",TITLE_NAME_OR_PR),TITLE_NAME_OR_PR_CHANGE)</f>
        <v>Министерство тарифного регулирования Ярославской области</v>
      </c>
      <c r="AH27" s="472"/>
      <c r="AI27" s="472"/>
      <c r="AJ27" s="472"/>
      <c r="AK27" s="472"/>
      <c r="AL27" s="472"/>
      <c r="AM27" s="472"/>
      <c r="AN27" s="472"/>
      <c r="AO27" s="472"/>
      <c r="AP27" s="472"/>
      <c r="AQ27" s="42"/>
      <c r="AR27" s="472" t="str">
        <f aca="false">IF(TITLE_NAME_OR_PR_CHANGE="",IF(TITLE_NAME_OR_PR="","",TITLE_NAME_OR_PR),TITLE_NAME_OR_PR_CHANGE)</f>
        <v>Министерство тарифного регулирования Ярославской области</v>
      </c>
      <c r="AS27" s="472"/>
      <c r="AT27" s="472"/>
      <c r="AU27" s="472"/>
      <c r="AV27" s="472"/>
      <c r="AW27" s="472"/>
      <c r="AX27" s="472"/>
      <c r="AY27" s="472"/>
      <c r="AZ27" s="472"/>
      <c r="BA27" s="472"/>
      <c r="BB27" s="42"/>
      <c r="BC27" s="472" t="str">
        <f aca="false">IF(TITLE_NAME_OR_PR_CHANGE="",IF(TITLE_NAME_OR_PR="","",TITLE_NAME_OR_PR),TITLE_NAME_OR_PR_CHANGE)</f>
        <v>Министерство тарифного регулирования Ярославской области</v>
      </c>
      <c r="BD27" s="472"/>
      <c r="BE27" s="472"/>
      <c r="BF27" s="472"/>
      <c r="BG27" s="472"/>
      <c r="BH27" s="472"/>
      <c r="BI27" s="472"/>
      <c r="BJ27" s="472"/>
      <c r="BK27" s="472"/>
      <c r="BL27" s="472"/>
      <c r="BM27" s="42"/>
      <c r="BN27" s="472" t="str">
        <f aca="false">IF(TITLE_NAME_OR_PR_CHANGE="",IF(TITLE_NAME_OR_PR="","",TITLE_NAME_OR_PR),TITLE_NAME_OR_PR_CHANGE)</f>
        <v>Министерство тарифного регулирования Ярославской области</v>
      </c>
      <c r="BO27" s="472"/>
      <c r="BP27" s="472"/>
      <c r="BQ27" s="472"/>
      <c r="BR27" s="472"/>
      <c r="BS27" s="472"/>
      <c r="BT27" s="472"/>
      <c r="BU27" s="472"/>
      <c r="BV27" s="472"/>
      <c r="BW27" s="472"/>
      <c r="BX27" s="42"/>
      <c r="BY27" s="472" t="str">
        <f aca="false">IF(TITLE_NAME_OR_PR_CHANGE="",IF(TITLE_NAME_OR_PR="","",TITLE_NAME_OR_PR),TITLE_NAME_OR_PR_CHANGE)</f>
        <v>Министерство тарифного регулирования Ярославской области</v>
      </c>
      <c r="BZ27" s="472"/>
      <c r="CA27" s="472"/>
      <c r="CB27" s="472"/>
      <c r="CC27" s="472"/>
      <c r="CD27" s="472"/>
      <c r="CE27" s="472"/>
      <c r="CF27" s="472"/>
      <c r="CG27" s="472"/>
      <c r="CH27" s="472"/>
      <c r="CI27" s="42"/>
      <c r="CJ27" s="472" t="str">
        <f aca="false">IF(TITLE_NAME_OR_PR_CHANGE="",IF(TITLE_NAME_OR_PR="","",TITLE_NAME_OR_PR),TITLE_NAME_OR_PR_CHANGE)</f>
        <v>Министерство тарифного регулирования Ярославской области</v>
      </c>
      <c r="CK27" s="472"/>
      <c r="CL27" s="472"/>
      <c r="CM27" s="472"/>
      <c r="CN27" s="472"/>
      <c r="CO27" s="472"/>
      <c r="CP27" s="472"/>
      <c r="CQ27" s="472"/>
      <c r="CR27" s="472"/>
      <c r="CS27" s="472"/>
      <c r="CT27" s="42"/>
      <c r="CU27" s="472" t="str">
        <f aca="false">IF(TITLE_NAME_OR_PR_CHANGE="",IF(TITLE_NAME_OR_PR="","",TITLE_NAME_OR_PR),TITLE_NAME_OR_PR_CHANGE)</f>
        <v>Министерство тарифного регулирования Ярославской области</v>
      </c>
      <c r="CV27" s="472"/>
      <c r="CW27" s="472"/>
      <c r="CX27" s="472"/>
      <c r="CY27" s="472"/>
      <c r="CZ27" s="472"/>
      <c r="DA27" s="472"/>
      <c r="DB27" s="472"/>
      <c r="DC27" s="472"/>
      <c r="DD27" s="472"/>
      <c r="DE27" s="42"/>
      <c r="DF27" s="472" t="str">
        <f aca="false">IF(TITLE_NAME_OR_PR_CHANGE="",IF(TITLE_NAME_OR_PR="","",TITLE_NAME_OR_PR),TITLE_NAME_OR_PR_CHANGE)</f>
        <v>Министерство тарифного регулирования Ярославской области</v>
      </c>
      <c r="DG27" s="472"/>
      <c r="DH27" s="472"/>
      <c r="DI27" s="472"/>
      <c r="DJ27" s="472"/>
      <c r="DK27" s="472"/>
      <c r="DL27" s="472"/>
      <c r="DM27" s="472"/>
      <c r="DN27" s="472"/>
      <c r="DO27" s="472"/>
      <c r="DP27" s="42"/>
      <c r="DQ27" s="472" t="str">
        <f aca="false">IF(TITLE_NAME_OR_PR_CHANGE="",IF(TITLE_NAME_OR_PR="","",TITLE_NAME_OR_PR),TITLE_NAME_OR_PR_CHANGE)</f>
        <v>Министерство тарифного регулирования Ярославской области</v>
      </c>
      <c r="DR27" s="472"/>
      <c r="DS27" s="472"/>
      <c r="DT27" s="472"/>
      <c r="DU27" s="472"/>
      <c r="DV27" s="472"/>
      <c r="DW27" s="472"/>
      <c r="DX27" s="472"/>
      <c r="DY27" s="472"/>
      <c r="DZ27" s="472"/>
      <c r="EA27" s="42"/>
      <c r="EB27" s="472" t="str">
        <f aca="false">IF(TITLE_NAME_OR_PR_CHANGE="",IF(TITLE_NAME_OR_PR="","",TITLE_NAME_OR_PR),TITLE_NAME_OR_PR_CHANGE)</f>
        <v>Министерство тарифного регулирования Ярославской области</v>
      </c>
      <c r="EC27" s="472"/>
      <c r="ED27" s="472"/>
      <c r="EE27" s="472"/>
      <c r="EF27" s="472"/>
      <c r="EG27" s="472"/>
      <c r="EH27" s="472"/>
      <c r="EI27" s="472"/>
      <c r="EJ27" s="472"/>
      <c r="EK27" s="472"/>
      <c r="EL27" s="42"/>
      <c r="EM27" s="42"/>
      <c r="EN27" s="473"/>
      <c r="EO27" s="117"/>
      <c r="EP27" s="117"/>
      <c r="EQ27" s="117"/>
      <c r="ER27" s="117"/>
      <c r="ES27" s="117"/>
    </row>
    <row r="28" s="174" customFormat="true" ht="18.75" hidden="false" customHeight="true" outlineLevel="0" collapsed="false">
      <c r="A28" s="139"/>
      <c r="B28" s="139"/>
      <c r="C28" s="139"/>
      <c r="D28" s="139"/>
      <c r="E28" s="139"/>
      <c r="F28" s="139"/>
      <c r="G28" s="139"/>
      <c r="H28" s="139"/>
      <c r="I28" s="139"/>
      <c r="J28" s="139"/>
      <c r="K28" s="139"/>
      <c r="L28" s="417"/>
      <c r="M28" s="139"/>
      <c r="N28" s="139"/>
      <c r="O28" s="139"/>
      <c r="S28" s="470" t="s">
        <v>437</v>
      </c>
      <c r="T28" s="470"/>
      <c r="U28" s="471"/>
      <c r="V28" s="474" t="str">
        <f aca="false">IF(TITLE_DATE_PR_CHANGE="",IF(TITLE_DATE_PR="","",TITLE_DATE_PR),TITLE_DATE_PR_CHANGE)</f>
        <v>45279.46460648148</v>
      </c>
      <c r="W28" s="474"/>
      <c r="X28" s="474"/>
      <c r="Y28" s="474"/>
      <c r="Z28" s="474"/>
      <c r="AA28" s="474"/>
      <c r="AB28" s="474"/>
      <c r="AC28" s="474"/>
      <c r="AD28" s="474"/>
      <c r="AE28" s="474"/>
      <c r="AF28" s="42"/>
      <c r="AG28" s="474" t="str">
        <f aca="false">IF(TITLE_DATE_PR_CHANGE="",IF(TITLE_DATE_PR="","",TITLE_DATE_PR),TITLE_DATE_PR_CHANGE)</f>
        <v>45279.46460648148</v>
      </c>
      <c r="AH28" s="474"/>
      <c r="AI28" s="474"/>
      <c r="AJ28" s="474"/>
      <c r="AK28" s="474"/>
      <c r="AL28" s="474"/>
      <c r="AM28" s="474"/>
      <c r="AN28" s="474"/>
      <c r="AO28" s="474"/>
      <c r="AP28" s="474"/>
      <c r="AQ28" s="42"/>
      <c r="AR28" s="474" t="str">
        <f aca="false">IF(TITLE_DATE_PR_CHANGE="",IF(TITLE_DATE_PR="","",TITLE_DATE_PR),TITLE_DATE_PR_CHANGE)</f>
        <v>45279.46460648148</v>
      </c>
      <c r="AS28" s="474"/>
      <c r="AT28" s="474"/>
      <c r="AU28" s="474"/>
      <c r="AV28" s="474"/>
      <c r="AW28" s="474"/>
      <c r="AX28" s="474"/>
      <c r="AY28" s="474"/>
      <c r="AZ28" s="474"/>
      <c r="BA28" s="474"/>
      <c r="BB28" s="42"/>
      <c r="BC28" s="474" t="str">
        <f aca="false">IF(TITLE_DATE_PR_CHANGE="",IF(TITLE_DATE_PR="","",TITLE_DATE_PR),TITLE_DATE_PR_CHANGE)</f>
        <v>45279.46460648148</v>
      </c>
      <c r="BD28" s="474"/>
      <c r="BE28" s="474"/>
      <c r="BF28" s="474"/>
      <c r="BG28" s="474"/>
      <c r="BH28" s="474"/>
      <c r="BI28" s="474"/>
      <c r="BJ28" s="474"/>
      <c r="BK28" s="474"/>
      <c r="BL28" s="474"/>
      <c r="BM28" s="42"/>
      <c r="BN28" s="474" t="str">
        <f aca="false">IF(TITLE_DATE_PR_CHANGE="",IF(TITLE_DATE_PR="","",TITLE_DATE_PR),TITLE_DATE_PR_CHANGE)</f>
        <v>45279.46460648148</v>
      </c>
      <c r="BO28" s="474"/>
      <c r="BP28" s="474"/>
      <c r="BQ28" s="474"/>
      <c r="BR28" s="474"/>
      <c r="BS28" s="474"/>
      <c r="BT28" s="474"/>
      <c r="BU28" s="474"/>
      <c r="BV28" s="474"/>
      <c r="BW28" s="474"/>
      <c r="BX28" s="42"/>
      <c r="BY28" s="474" t="str">
        <f aca="false">IF(TITLE_DATE_PR_CHANGE="",IF(TITLE_DATE_PR="","",TITLE_DATE_PR),TITLE_DATE_PR_CHANGE)</f>
        <v>45279.46460648148</v>
      </c>
      <c r="BZ28" s="474"/>
      <c r="CA28" s="474"/>
      <c r="CB28" s="474"/>
      <c r="CC28" s="474"/>
      <c r="CD28" s="474"/>
      <c r="CE28" s="474"/>
      <c r="CF28" s="474"/>
      <c r="CG28" s="474"/>
      <c r="CH28" s="474"/>
      <c r="CI28" s="42"/>
      <c r="CJ28" s="474" t="str">
        <f aca="false">IF(TITLE_DATE_PR_CHANGE="",IF(TITLE_DATE_PR="","",TITLE_DATE_PR),TITLE_DATE_PR_CHANGE)</f>
        <v>45279.46460648148</v>
      </c>
      <c r="CK28" s="474"/>
      <c r="CL28" s="474"/>
      <c r="CM28" s="474"/>
      <c r="CN28" s="474"/>
      <c r="CO28" s="474"/>
      <c r="CP28" s="474"/>
      <c r="CQ28" s="474"/>
      <c r="CR28" s="474"/>
      <c r="CS28" s="474"/>
      <c r="CT28" s="42"/>
      <c r="CU28" s="474" t="str">
        <f aca="false">IF(TITLE_DATE_PR_CHANGE="",IF(TITLE_DATE_PR="","",TITLE_DATE_PR),TITLE_DATE_PR_CHANGE)</f>
        <v>45279.46460648148</v>
      </c>
      <c r="CV28" s="474"/>
      <c r="CW28" s="474"/>
      <c r="CX28" s="474"/>
      <c r="CY28" s="474"/>
      <c r="CZ28" s="474"/>
      <c r="DA28" s="474"/>
      <c r="DB28" s="474"/>
      <c r="DC28" s="474"/>
      <c r="DD28" s="474"/>
      <c r="DE28" s="42"/>
      <c r="DF28" s="474" t="str">
        <f aca="false">IF(TITLE_DATE_PR_CHANGE="",IF(TITLE_DATE_PR="","",TITLE_DATE_PR),TITLE_DATE_PR_CHANGE)</f>
        <v>45279.46460648148</v>
      </c>
      <c r="DG28" s="474"/>
      <c r="DH28" s="474"/>
      <c r="DI28" s="474"/>
      <c r="DJ28" s="474"/>
      <c r="DK28" s="474"/>
      <c r="DL28" s="474"/>
      <c r="DM28" s="474"/>
      <c r="DN28" s="474"/>
      <c r="DO28" s="474"/>
      <c r="DP28" s="42"/>
      <c r="DQ28" s="474" t="str">
        <f aca="false">IF(TITLE_DATE_PR_CHANGE="",IF(TITLE_DATE_PR="","",TITLE_DATE_PR),TITLE_DATE_PR_CHANGE)</f>
        <v>45279.46460648148</v>
      </c>
      <c r="DR28" s="474"/>
      <c r="DS28" s="474"/>
      <c r="DT28" s="474"/>
      <c r="DU28" s="474"/>
      <c r="DV28" s="474"/>
      <c r="DW28" s="474"/>
      <c r="DX28" s="474"/>
      <c r="DY28" s="474"/>
      <c r="DZ28" s="474"/>
      <c r="EA28" s="42"/>
      <c r="EB28" s="474" t="str">
        <f aca="false">IF(TITLE_DATE_PR_CHANGE="",IF(TITLE_DATE_PR="","",TITLE_DATE_PR),TITLE_DATE_PR_CHANGE)</f>
        <v>45279.46460648148</v>
      </c>
      <c r="EC28" s="474"/>
      <c r="ED28" s="474"/>
      <c r="EE28" s="474"/>
      <c r="EF28" s="474"/>
      <c r="EG28" s="474"/>
      <c r="EH28" s="474"/>
      <c r="EI28" s="474"/>
      <c r="EJ28" s="474"/>
      <c r="EK28" s="474"/>
      <c r="EL28" s="42"/>
      <c r="EM28" s="42"/>
      <c r="EN28" s="473"/>
      <c r="EO28" s="117"/>
      <c r="EP28" s="117"/>
      <c r="EQ28" s="117"/>
      <c r="ER28" s="117"/>
      <c r="ES28" s="117"/>
    </row>
    <row r="29" s="174" customFormat="true" ht="18.75" hidden="false" customHeight="true" outlineLevel="0" collapsed="false">
      <c r="A29" s="139"/>
      <c r="B29" s="139"/>
      <c r="C29" s="139"/>
      <c r="D29" s="139"/>
      <c r="E29" s="139"/>
      <c r="F29" s="139"/>
      <c r="G29" s="139"/>
      <c r="H29" s="139"/>
      <c r="I29" s="139"/>
      <c r="J29" s="139"/>
      <c r="K29" s="139"/>
      <c r="L29" s="417"/>
      <c r="M29" s="139"/>
      <c r="N29" s="139"/>
      <c r="O29" s="139"/>
      <c r="S29" s="470" t="s">
        <v>438</v>
      </c>
      <c r="T29" s="470"/>
      <c r="U29" s="471"/>
      <c r="V29" s="472" t="str">
        <f aca="false">IF(TITLE_NUMBER_PR_CHANGE="",IF(TITLE_NUMBER_PR="","",TITLE_NUMBER_PR),TITLE_NUMBER_PR_CHANGE)</f>
        <v>403-гвс, 404-гвс, 406-гвс</v>
      </c>
      <c r="W29" s="472"/>
      <c r="X29" s="472"/>
      <c r="Y29" s="472"/>
      <c r="Z29" s="472"/>
      <c r="AA29" s="472"/>
      <c r="AB29" s="472"/>
      <c r="AC29" s="472"/>
      <c r="AD29" s="472"/>
      <c r="AE29" s="472"/>
      <c r="AF29" s="42"/>
      <c r="AG29" s="472" t="str">
        <f aca="false">IF(TITLE_NUMBER_PR_CHANGE="",IF(TITLE_NUMBER_PR="","",TITLE_NUMBER_PR),TITLE_NUMBER_PR_CHANGE)</f>
        <v>403-гвс, 404-гвс, 406-гвс</v>
      </c>
      <c r="AH29" s="472"/>
      <c r="AI29" s="472"/>
      <c r="AJ29" s="472"/>
      <c r="AK29" s="472"/>
      <c r="AL29" s="472"/>
      <c r="AM29" s="472"/>
      <c r="AN29" s="472"/>
      <c r="AO29" s="472"/>
      <c r="AP29" s="472"/>
      <c r="AQ29" s="42"/>
      <c r="AR29" s="472" t="str">
        <f aca="false">IF(TITLE_NUMBER_PR_CHANGE="",IF(TITLE_NUMBER_PR="","",TITLE_NUMBER_PR),TITLE_NUMBER_PR_CHANGE)</f>
        <v>403-гвс, 404-гвс, 406-гвс</v>
      </c>
      <c r="AS29" s="472"/>
      <c r="AT29" s="472"/>
      <c r="AU29" s="472"/>
      <c r="AV29" s="472"/>
      <c r="AW29" s="472"/>
      <c r="AX29" s="472"/>
      <c r="AY29" s="472"/>
      <c r="AZ29" s="472"/>
      <c r="BA29" s="472"/>
      <c r="BB29" s="42"/>
      <c r="BC29" s="472" t="str">
        <f aca="false">IF(TITLE_NUMBER_PR_CHANGE="",IF(TITLE_NUMBER_PR="","",TITLE_NUMBER_PR),TITLE_NUMBER_PR_CHANGE)</f>
        <v>403-гвс, 404-гвс, 406-гвс</v>
      </c>
      <c r="BD29" s="472"/>
      <c r="BE29" s="472"/>
      <c r="BF29" s="472"/>
      <c r="BG29" s="472"/>
      <c r="BH29" s="472"/>
      <c r="BI29" s="472"/>
      <c r="BJ29" s="472"/>
      <c r="BK29" s="472"/>
      <c r="BL29" s="472"/>
      <c r="BM29" s="42"/>
      <c r="BN29" s="472" t="str">
        <f aca="false">IF(TITLE_NUMBER_PR_CHANGE="",IF(TITLE_NUMBER_PR="","",TITLE_NUMBER_PR),TITLE_NUMBER_PR_CHANGE)</f>
        <v>403-гвс, 404-гвс, 406-гвс</v>
      </c>
      <c r="BO29" s="472"/>
      <c r="BP29" s="472"/>
      <c r="BQ29" s="472"/>
      <c r="BR29" s="472"/>
      <c r="BS29" s="472"/>
      <c r="BT29" s="472"/>
      <c r="BU29" s="472"/>
      <c r="BV29" s="472"/>
      <c r="BW29" s="472"/>
      <c r="BX29" s="42"/>
      <c r="BY29" s="472" t="str">
        <f aca="false">IF(TITLE_NUMBER_PR_CHANGE="",IF(TITLE_NUMBER_PR="","",TITLE_NUMBER_PR),TITLE_NUMBER_PR_CHANGE)</f>
        <v>403-гвс, 404-гвс, 406-гвс</v>
      </c>
      <c r="BZ29" s="472"/>
      <c r="CA29" s="472"/>
      <c r="CB29" s="472"/>
      <c r="CC29" s="472"/>
      <c r="CD29" s="472"/>
      <c r="CE29" s="472"/>
      <c r="CF29" s="472"/>
      <c r="CG29" s="472"/>
      <c r="CH29" s="472"/>
      <c r="CI29" s="42"/>
      <c r="CJ29" s="472" t="str">
        <f aca="false">IF(TITLE_NUMBER_PR_CHANGE="",IF(TITLE_NUMBER_PR="","",TITLE_NUMBER_PR),TITLE_NUMBER_PR_CHANGE)</f>
        <v>403-гвс, 404-гвс, 406-гвс</v>
      </c>
      <c r="CK29" s="472"/>
      <c r="CL29" s="472"/>
      <c r="CM29" s="472"/>
      <c r="CN29" s="472"/>
      <c r="CO29" s="472"/>
      <c r="CP29" s="472"/>
      <c r="CQ29" s="472"/>
      <c r="CR29" s="472"/>
      <c r="CS29" s="472"/>
      <c r="CT29" s="42"/>
      <c r="CU29" s="472" t="str">
        <f aca="false">IF(TITLE_NUMBER_PR_CHANGE="",IF(TITLE_NUMBER_PR="","",TITLE_NUMBER_PR),TITLE_NUMBER_PR_CHANGE)</f>
        <v>403-гвс, 404-гвс, 406-гвс</v>
      </c>
      <c r="CV29" s="472"/>
      <c r="CW29" s="472"/>
      <c r="CX29" s="472"/>
      <c r="CY29" s="472"/>
      <c r="CZ29" s="472"/>
      <c r="DA29" s="472"/>
      <c r="DB29" s="472"/>
      <c r="DC29" s="472"/>
      <c r="DD29" s="472"/>
      <c r="DE29" s="42"/>
      <c r="DF29" s="472" t="str">
        <f aca="false">IF(TITLE_NUMBER_PR_CHANGE="",IF(TITLE_NUMBER_PR="","",TITLE_NUMBER_PR),TITLE_NUMBER_PR_CHANGE)</f>
        <v>403-гвс, 404-гвс, 406-гвс</v>
      </c>
      <c r="DG29" s="472"/>
      <c r="DH29" s="472"/>
      <c r="DI29" s="472"/>
      <c r="DJ29" s="472"/>
      <c r="DK29" s="472"/>
      <c r="DL29" s="472"/>
      <c r="DM29" s="472"/>
      <c r="DN29" s="472"/>
      <c r="DO29" s="472"/>
      <c r="DP29" s="42"/>
      <c r="DQ29" s="472" t="str">
        <f aca="false">IF(TITLE_NUMBER_PR_CHANGE="",IF(TITLE_NUMBER_PR="","",TITLE_NUMBER_PR),TITLE_NUMBER_PR_CHANGE)</f>
        <v>403-гвс, 404-гвс, 406-гвс</v>
      </c>
      <c r="DR29" s="472"/>
      <c r="DS29" s="472"/>
      <c r="DT29" s="472"/>
      <c r="DU29" s="472"/>
      <c r="DV29" s="472"/>
      <c r="DW29" s="472"/>
      <c r="DX29" s="472"/>
      <c r="DY29" s="472"/>
      <c r="DZ29" s="472"/>
      <c r="EA29" s="42"/>
      <c r="EB29" s="472" t="str">
        <f aca="false">IF(TITLE_NUMBER_PR_CHANGE="",IF(TITLE_NUMBER_PR="","",TITLE_NUMBER_PR),TITLE_NUMBER_PR_CHANGE)</f>
        <v>403-гвс, 404-гвс, 406-гвс</v>
      </c>
      <c r="EC29" s="472"/>
      <c r="ED29" s="472"/>
      <c r="EE29" s="472"/>
      <c r="EF29" s="472"/>
      <c r="EG29" s="472"/>
      <c r="EH29" s="472"/>
      <c r="EI29" s="472"/>
      <c r="EJ29" s="472"/>
      <c r="EK29" s="472"/>
      <c r="EL29" s="42"/>
      <c r="EM29" s="42"/>
      <c r="EN29" s="473"/>
      <c r="EO29" s="117"/>
      <c r="EP29" s="117"/>
      <c r="EQ29" s="117"/>
      <c r="ER29" s="117"/>
      <c r="ES29" s="117"/>
    </row>
    <row r="30" s="174" customFormat="true" ht="18.75" hidden="false" customHeight="true" outlineLevel="0" collapsed="false">
      <c r="A30" s="139"/>
      <c r="B30" s="139"/>
      <c r="C30" s="139"/>
      <c r="D30" s="139"/>
      <c r="E30" s="139"/>
      <c r="F30" s="139"/>
      <c r="G30" s="139"/>
      <c r="H30" s="139"/>
      <c r="I30" s="139"/>
      <c r="J30" s="139"/>
      <c r="K30" s="139"/>
      <c r="L30" s="417"/>
      <c r="M30" s="139"/>
      <c r="N30" s="139"/>
      <c r="O30" s="139"/>
      <c r="S30" s="470" t="s">
        <v>39</v>
      </c>
      <c r="T30" s="470"/>
      <c r="U30" s="471"/>
      <c r="V30" s="472" t="str">
        <f aca="false">IF(TITLE_IST_PUB_CHANGE="",IF(TITLE_IST_PUB="","",TITLE_IST_PUB),TITLE_IST_PUB_CHANGE)</f>
        <v>официальный интернет- портал правовой информации www.pravo.gov.ru</v>
      </c>
      <c r="W30" s="472"/>
      <c r="X30" s="472"/>
      <c r="Y30" s="472"/>
      <c r="Z30" s="472"/>
      <c r="AA30" s="472"/>
      <c r="AB30" s="472"/>
      <c r="AC30" s="472"/>
      <c r="AD30" s="472"/>
      <c r="AE30" s="472"/>
      <c r="AF30" s="42"/>
      <c r="AG30" s="472" t="str">
        <f aca="false">IF(TITLE_IST_PUB_CHANGE="",IF(TITLE_IST_PUB="","",TITLE_IST_PUB),TITLE_IST_PUB_CHANGE)</f>
        <v>официальный интернет- портал правовой информации www.pravo.gov.ru</v>
      </c>
      <c r="AH30" s="472"/>
      <c r="AI30" s="472"/>
      <c r="AJ30" s="472"/>
      <c r="AK30" s="472"/>
      <c r="AL30" s="472"/>
      <c r="AM30" s="472"/>
      <c r="AN30" s="472"/>
      <c r="AO30" s="472"/>
      <c r="AP30" s="472"/>
      <c r="AQ30" s="42"/>
      <c r="AR30" s="472" t="str">
        <f aca="false">IF(TITLE_IST_PUB_CHANGE="",IF(TITLE_IST_PUB="","",TITLE_IST_PUB),TITLE_IST_PUB_CHANGE)</f>
        <v>официальный интернет- портал правовой информации www.pravo.gov.ru</v>
      </c>
      <c r="AS30" s="472"/>
      <c r="AT30" s="472"/>
      <c r="AU30" s="472"/>
      <c r="AV30" s="472"/>
      <c r="AW30" s="472"/>
      <c r="AX30" s="472"/>
      <c r="AY30" s="472"/>
      <c r="AZ30" s="472"/>
      <c r="BA30" s="472"/>
      <c r="BB30" s="42"/>
      <c r="BC30" s="472" t="str">
        <f aca="false">IF(TITLE_IST_PUB_CHANGE="",IF(TITLE_IST_PUB="","",TITLE_IST_PUB),TITLE_IST_PUB_CHANGE)</f>
        <v>официальный интернет- портал правовой информации www.pravo.gov.ru</v>
      </c>
      <c r="BD30" s="472"/>
      <c r="BE30" s="472"/>
      <c r="BF30" s="472"/>
      <c r="BG30" s="472"/>
      <c r="BH30" s="472"/>
      <c r="BI30" s="472"/>
      <c r="BJ30" s="472"/>
      <c r="BK30" s="472"/>
      <c r="BL30" s="472"/>
      <c r="BM30" s="42"/>
      <c r="BN30" s="472" t="str">
        <f aca="false">IF(TITLE_IST_PUB_CHANGE="",IF(TITLE_IST_PUB="","",TITLE_IST_PUB),TITLE_IST_PUB_CHANGE)</f>
        <v>официальный интернет- портал правовой информации www.pravo.gov.ru</v>
      </c>
      <c r="BO30" s="472"/>
      <c r="BP30" s="472"/>
      <c r="BQ30" s="472"/>
      <c r="BR30" s="472"/>
      <c r="BS30" s="472"/>
      <c r="BT30" s="472"/>
      <c r="BU30" s="472"/>
      <c r="BV30" s="472"/>
      <c r="BW30" s="472"/>
      <c r="BX30" s="42"/>
      <c r="BY30" s="472" t="str">
        <f aca="false">IF(TITLE_IST_PUB_CHANGE="",IF(TITLE_IST_PUB="","",TITLE_IST_PUB),TITLE_IST_PUB_CHANGE)</f>
        <v>официальный интернет- портал правовой информации www.pravo.gov.ru</v>
      </c>
      <c r="BZ30" s="472"/>
      <c r="CA30" s="472"/>
      <c r="CB30" s="472"/>
      <c r="CC30" s="472"/>
      <c r="CD30" s="472"/>
      <c r="CE30" s="472"/>
      <c r="CF30" s="472"/>
      <c r="CG30" s="472"/>
      <c r="CH30" s="472"/>
      <c r="CI30" s="42"/>
      <c r="CJ30" s="472" t="str">
        <f aca="false">IF(TITLE_IST_PUB_CHANGE="",IF(TITLE_IST_PUB="","",TITLE_IST_PUB),TITLE_IST_PUB_CHANGE)</f>
        <v>официальный интернет- портал правовой информации www.pravo.gov.ru</v>
      </c>
      <c r="CK30" s="472"/>
      <c r="CL30" s="472"/>
      <c r="CM30" s="472"/>
      <c r="CN30" s="472"/>
      <c r="CO30" s="472"/>
      <c r="CP30" s="472"/>
      <c r="CQ30" s="472"/>
      <c r="CR30" s="472"/>
      <c r="CS30" s="472"/>
      <c r="CT30" s="42"/>
      <c r="CU30" s="472" t="str">
        <f aca="false">IF(TITLE_IST_PUB_CHANGE="",IF(TITLE_IST_PUB="","",TITLE_IST_PUB),TITLE_IST_PUB_CHANGE)</f>
        <v>официальный интернет- портал правовой информации www.pravo.gov.ru</v>
      </c>
      <c r="CV30" s="472"/>
      <c r="CW30" s="472"/>
      <c r="CX30" s="472"/>
      <c r="CY30" s="472"/>
      <c r="CZ30" s="472"/>
      <c r="DA30" s="472"/>
      <c r="DB30" s="472"/>
      <c r="DC30" s="472"/>
      <c r="DD30" s="472"/>
      <c r="DE30" s="42"/>
      <c r="DF30" s="472" t="str">
        <f aca="false">IF(TITLE_IST_PUB_CHANGE="",IF(TITLE_IST_PUB="","",TITLE_IST_PUB),TITLE_IST_PUB_CHANGE)</f>
        <v>официальный интернет- портал правовой информации www.pravo.gov.ru</v>
      </c>
      <c r="DG30" s="472"/>
      <c r="DH30" s="472"/>
      <c r="DI30" s="472"/>
      <c r="DJ30" s="472"/>
      <c r="DK30" s="472"/>
      <c r="DL30" s="472"/>
      <c r="DM30" s="472"/>
      <c r="DN30" s="472"/>
      <c r="DO30" s="472"/>
      <c r="DP30" s="42"/>
      <c r="DQ30" s="472" t="str">
        <f aca="false">IF(TITLE_IST_PUB_CHANGE="",IF(TITLE_IST_PUB="","",TITLE_IST_PUB),TITLE_IST_PUB_CHANGE)</f>
        <v>официальный интернет- портал правовой информации www.pravo.gov.ru</v>
      </c>
      <c r="DR30" s="472"/>
      <c r="DS30" s="472"/>
      <c r="DT30" s="472"/>
      <c r="DU30" s="472"/>
      <c r="DV30" s="472"/>
      <c r="DW30" s="472"/>
      <c r="DX30" s="472"/>
      <c r="DY30" s="472"/>
      <c r="DZ30" s="472"/>
      <c r="EA30" s="42"/>
      <c r="EB30" s="472" t="str">
        <f aca="false">IF(TITLE_IST_PUB_CHANGE="",IF(TITLE_IST_PUB="","",TITLE_IST_PUB),TITLE_IST_PUB_CHANGE)</f>
        <v>официальный интернет- портал правовой информации www.pravo.gov.ru</v>
      </c>
      <c r="EC30" s="472"/>
      <c r="ED30" s="472"/>
      <c r="EE30" s="472"/>
      <c r="EF30" s="472"/>
      <c r="EG30" s="472"/>
      <c r="EH30" s="472"/>
      <c r="EI30" s="472"/>
      <c r="EJ30" s="472"/>
      <c r="EK30" s="472"/>
      <c r="EL30" s="42"/>
      <c r="EM30" s="42"/>
      <c r="EN30" s="473"/>
      <c r="EO30" s="117"/>
      <c r="EP30" s="117"/>
      <c r="EQ30" s="117"/>
      <c r="ER30" s="117"/>
      <c r="ES30" s="117"/>
    </row>
    <row r="31" customFormat="false" ht="14.25" hidden="true" customHeight="true" outlineLevel="0" collapsed="false">
      <c r="Q31" s="467"/>
      <c r="R31" s="467"/>
      <c r="S31" s="468"/>
      <c r="T31" s="79"/>
      <c r="U31" s="79"/>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c r="AR31" s="469"/>
      <c r="AS31" s="469"/>
      <c r="AT31" s="469"/>
      <c r="AU31" s="469"/>
      <c r="AV31" s="469"/>
      <c r="AW31" s="469"/>
      <c r="AX31" s="469"/>
      <c r="AY31" s="469"/>
      <c r="AZ31" s="469"/>
      <c r="BA31" s="469"/>
      <c r="BB31" s="469"/>
      <c r="BC31" s="469"/>
      <c r="BD31" s="469"/>
      <c r="BE31" s="469"/>
      <c r="BF31" s="469"/>
      <c r="BG31" s="469"/>
      <c r="BH31" s="469"/>
      <c r="BI31" s="469"/>
      <c r="BJ31" s="469"/>
      <c r="BK31" s="469"/>
      <c r="BL31" s="469"/>
      <c r="BM31" s="469"/>
      <c r="BN31" s="469"/>
      <c r="BO31" s="469"/>
      <c r="BP31" s="469"/>
      <c r="BQ31" s="469"/>
      <c r="BR31" s="469"/>
      <c r="BS31" s="469"/>
      <c r="BT31" s="469"/>
      <c r="BU31" s="469"/>
      <c r="BV31" s="469"/>
      <c r="BW31" s="469"/>
      <c r="BX31" s="469"/>
      <c r="BY31" s="469"/>
      <c r="BZ31" s="469"/>
      <c r="CA31" s="469"/>
      <c r="CB31" s="469"/>
      <c r="CC31" s="469"/>
      <c r="CD31" s="469"/>
      <c r="CE31" s="469"/>
      <c r="CF31" s="469"/>
      <c r="CG31" s="469"/>
      <c r="CH31" s="469"/>
      <c r="CI31" s="469"/>
      <c r="CJ31" s="469"/>
      <c r="CK31" s="469"/>
      <c r="CL31" s="469"/>
      <c r="CM31" s="469"/>
      <c r="CN31" s="469"/>
      <c r="CO31" s="469"/>
      <c r="CP31" s="469"/>
      <c r="CQ31" s="469"/>
      <c r="CR31" s="469"/>
      <c r="CS31" s="469"/>
      <c r="CT31" s="469"/>
      <c r="CU31" s="469"/>
      <c r="CV31" s="469"/>
      <c r="CW31" s="469"/>
      <c r="CX31" s="469"/>
      <c r="CY31" s="469"/>
      <c r="CZ31" s="469"/>
      <c r="DA31" s="469"/>
      <c r="DB31" s="469"/>
      <c r="DC31" s="469"/>
      <c r="DD31" s="469"/>
      <c r="DE31" s="469"/>
      <c r="DF31" s="469"/>
      <c r="DG31" s="469"/>
      <c r="DH31" s="469"/>
      <c r="DI31" s="469"/>
      <c r="DJ31" s="469"/>
      <c r="DK31" s="469"/>
      <c r="DL31" s="469"/>
      <c r="DM31" s="469"/>
      <c r="DN31" s="469"/>
      <c r="DO31" s="469"/>
      <c r="DP31" s="469"/>
      <c r="DQ31" s="469"/>
      <c r="DR31" s="469"/>
      <c r="DS31" s="469"/>
      <c r="DT31" s="469"/>
      <c r="DU31" s="469"/>
      <c r="DV31" s="469"/>
      <c r="DW31" s="469"/>
      <c r="DX31" s="469"/>
      <c r="DY31" s="469"/>
      <c r="DZ31" s="469"/>
      <c r="EA31" s="469"/>
      <c r="EB31" s="469"/>
      <c r="EC31" s="469"/>
      <c r="ED31" s="469"/>
      <c r="EE31" s="469"/>
      <c r="EF31" s="469"/>
      <c r="EG31" s="469"/>
      <c r="EH31" s="469"/>
      <c r="EI31" s="469"/>
      <c r="EJ31" s="469"/>
      <c r="EK31" s="469"/>
      <c r="EL31" s="469"/>
    </row>
    <row r="32" s="174" customFormat="true" ht="18.75" hidden="true" customHeight="true" outlineLevel="0" collapsed="false">
      <c r="A32" s="139"/>
      <c r="B32" s="139"/>
      <c r="C32" s="139"/>
      <c r="D32" s="139"/>
      <c r="E32" s="139"/>
      <c r="F32" s="139"/>
      <c r="G32" s="139"/>
      <c r="H32" s="139"/>
      <c r="I32" s="139"/>
      <c r="J32" s="139"/>
      <c r="K32" s="139"/>
      <c r="L32" s="417"/>
      <c r="M32" s="139"/>
      <c r="N32" s="139"/>
      <c r="O32" s="139"/>
      <c r="S32" s="470" t="s">
        <v>439</v>
      </c>
      <c r="T32" s="470"/>
      <c r="U32" s="471"/>
      <c r="V32" s="474" t="str">
        <f aca="false">IF(TITLE_DATE_PR_CHANGE="",IF(TITLE_DATE_PR="","",TITLE_DATE_PR),TITLE_DATE_PR_CHANGE)</f>
        <v>45279.46460648148</v>
      </c>
      <c r="W32" s="474"/>
      <c r="X32" s="474"/>
      <c r="Y32" s="474"/>
      <c r="Z32" s="474"/>
      <c r="AA32" s="474"/>
      <c r="AB32" s="474"/>
      <c r="AC32" s="474"/>
      <c r="AD32" s="474"/>
      <c r="AE32" s="474"/>
      <c r="AF32" s="42"/>
      <c r="AG32" s="474" t="str">
        <f aca="false">IF(TITLE_DATE_PR_CHANGE="",IF(TITLE_DATE_PR="","",TITLE_DATE_PR),TITLE_DATE_PR_CHANGE)</f>
        <v>45279.46460648148</v>
      </c>
      <c r="AH32" s="474"/>
      <c r="AI32" s="474"/>
      <c r="AJ32" s="474"/>
      <c r="AK32" s="474"/>
      <c r="AL32" s="474"/>
      <c r="AM32" s="474"/>
      <c r="AN32" s="474"/>
      <c r="AO32" s="474"/>
      <c r="AP32" s="474"/>
      <c r="AQ32" s="42"/>
      <c r="AR32" s="474" t="str">
        <f aca="false">IF(TITLE_DATE_PR_CHANGE="",IF(TITLE_DATE_PR="","",TITLE_DATE_PR),TITLE_DATE_PR_CHANGE)</f>
        <v>45279.46460648148</v>
      </c>
      <c r="AS32" s="474"/>
      <c r="AT32" s="474"/>
      <c r="AU32" s="474"/>
      <c r="AV32" s="474"/>
      <c r="AW32" s="474"/>
      <c r="AX32" s="474"/>
      <c r="AY32" s="474"/>
      <c r="AZ32" s="474"/>
      <c r="BA32" s="474"/>
      <c r="BB32" s="42"/>
      <c r="BC32" s="474" t="str">
        <f aca="false">IF(TITLE_DATE_PR_CHANGE="",IF(TITLE_DATE_PR="","",TITLE_DATE_PR),TITLE_DATE_PR_CHANGE)</f>
        <v>45279.46460648148</v>
      </c>
      <c r="BD32" s="474"/>
      <c r="BE32" s="474"/>
      <c r="BF32" s="474"/>
      <c r="BG32" s="474"/>
      <c r="BH32" s="474"/>
      <c r="BI32" s="474"/>
      <c r="BJ32" s="474"/>
      <c r="BK32" s="474"/>
      <c r="BL32" s="474"/>
      <c r="BM32" s="42"/>
      <c r="BN32" s="474" t="str">
        <f aca="false">IF(TITLE_DATE_PR_CHANGE="",IF(TITLE_DATE_PR="","",TITLE_DATE_PR),TITLE_DATE_PR_CHANGE)</f>
        <v>45279.46460648148</v>
      </c>
      <c r="BO32" s="474"/>
      <c r="BP32" s="474"/>
      <c r="BQ32" s="474"/>
      <c r="BR32" s="474"/>
      <c r="BS32" s="474"/>
      <c r="BT32" s="474"/>
      <c r="BU32" s="474"/>
      <c r="BV32" s="474"/>
      <c r="BW32" s="474"/>
      <c r="BX32" s="42"/>
      <c r="BY32" s="474" t="str">
        <f aca="false">IF(TITLE_DATE_PR_CHANGE="",IF(TITLE_DATE_PR="","",TITLE_DATE_PR),TITLE_DATE_PR_CHANGE)</f>
        <v>45279.46460648148</v>
      </c>
      <c r="BZ32" s="474"/>
      <c r="CA32" s="474"/>
      <c r="CB32" s="474"/>
      <c r="CC32" s="474"/>
      <c r="CD32" s="474"/>
      <c r="CE32" s="474"/>
      <c r="CF32" s="474"/>
      <c r="CG32" s="474"/>
      <c r="CH32" s="474"/>
      <c r="CI32" s="42"/>
      <c r="CJ32" s="474" t="str">
        <f aca="false">IF(TITLE_DATE_PR_CHANGE="",IF(TITLE_DATE_PR="","",TITLE_DATE_PR),TITLE_DATE_PR_CHANGE)</f>
        <v>45279.46460648148</v>
      </c>
      <c r="CK32" s="474"/>
      <c r="CL32" s="474"/>
      <c r="CM32" s="474"/>
      <c r="CN32" s="474"/>
      <c r="CO32" s="474"/>
      <c r="CP32" s="474"/>
      <c r="CQ32" s="474"/>
      <c r="CR32" s="474"/>
      <c r="CS32" s="474"/>
      <c r="CT32" s="42"/>
      <c r="CU32" s="474" t="str">
        <f aca="false">IF(TITLE_DATE_PR_CHANGE="",IF(TITLE_DATE_PR="","",TITLE_DATE_PR),TITLE_DATE_PR_CHANGE)</f>
        <v>45279.46460648148</v>
      </c>
      <c r="CV32" s="474"/>
      <c r="CW32" s="474"/>
      <c r="CX32" s="474"/>
      <c r="CY32" s="474"/>
      <c r="CZ32" s="474"/>
      <c r="DA32" s="474"/>
      <c r="DB32" s="474"/>
      <c r="DC32" s="474"/>
      <c r="DD32" s="474"/>
      <c r="DE32" s="42"/>
      <c r="DF32" s="474" t="str">
        <f aca="false">IF(TITLE_DATE_PR_CHANGE="",IF(TITLE_DATE_PR="","",TITLE_DATE_PR),TITLE_DATE_PR_CHANGE)</f>
        <v>45279.46460648148</v>
      </c>
      <c r="DG32" s="474"/>
      <c r="DH32" s="474"/>
      <c r="DI32" s="474"/>
      <c r="DJ32" s="474"/>
      <c r="DK32" s="474"/>
      <c r="DL32" s="474"/>
      <c r="DM32" s="474"/>
      <c r="DN32" s="474"/>
      <c r="DO32" s="474"/>
      <c r="DP32" s="42"/>
      <c r="DQ32" s="474" t="str">
        <f aca="false">IF(TITLE_DATE_PR_CHANGE="",IF(TITLE_DATE_PR="","",TITLE_DATE_PR),TITLE_DATE_PR_CHANGE)</f>
        <v>45279.46460648148</v>
      </c>
      <c r="DR32" s="474"/>
      <c r="DS32" s="474"/>
      <c r="DT32" s="474"/>
      <c r="DU32" s="474"/>
      <c r="DV32" s="474"/>
      <c r="DW32" s="474"/>
      <c r="DX32" s="474"/>
      <c r="DY32" s="474"/>
      <c r="DZ32" s="474"/>
      <c r="EA32" s="42"/>
      <c r="EB32" s="474" t="str">
        <f aca="false">IF(TITLE_DATE_PR_CHANGE="",IF(TITLE_DATE_PR="","",TITLE_DATE_PR),TITLE_DATE_PR_CHANGE)</f>
        <v>45279.46460648148</v>
      </c>
      <c r="EC32" s="474"/>
      <c r="ED32" s="474"/>
      <c r="EE32" s="474"/>
      <c r="EF32" s="474"/>
      <c r="EG32" s="474"/>
      <c r="EH32" s="474"/>
      <c r="EI32" s="474"/>
      <c r="EJ32" s="474"/>
      <c r="EK32" s="474"/>
      <c r="EL32" s="42"/>
      <c r="EM32" s="42"/>
      <c r="EN32" s="473"/>
      <c r="EO32" s="117"/>
      <c r="EP32" s="117"/>
      <c r="EQ32" s="117"/>
      <c r="ER32" s="117"/>
      <c r="ES32" s="117"/>
    </row>
    <row r="33" s="174" customFormat="true" ht="18.75" hidden="true" customHeight="true" outlineLevel="0" collapsed="false">
      <c r="A33" s="139"/>
      <c r="B33" s="139"/>
      <c r="C33" s="139"/>
      <c r="D33" s="139"/>
      <c r="E33" s="139"/>
      <c r="F33" s="139"/>
      <c r="G33" s="139"/>
      <c r="H33" s="139"/>
      <c r="I33" s="139"/>
      <c r="J33" s="139"/>
      <c r="K33" s="139"/>
      <c r="L33" s="417"/>
      <c r="M33" s="139"/>
      <c r="N33" s="139"/>
      <c r="O33" s="139"/>
      <c r="S33" s="470" t="s">
        <v>440</v>
      </c>
      <c r="T33" s="470"/>
      <c r="U33" s="471"/>
      <c r="V33" s="472" t="str">
        <f aca="false">IF(TITLE_NUMBER_PR_CHANGE="",IF(TITLE_NUMBER_PR="","",TITLE_NUMBER_PR),TITLE_NUMBER_PR_CHANGE)</f>
        <v>403-гвс, 404-гвс, 406-гвс</v>
      </c>
      <c r="W33" s="472"/>
      <c r="X33" s="472"/>
      <c r="Y33" s="472"/>
      <c r="Z33" s="472"/>
      <c r="AA33" s="472"/>
      <c r="AB33" s="472"/>
      <c r="AC33" s="472"/>
      <c r="AD33" s="472"/>
      <c r="AE33" s="472"/>
      <c r="AF33" s="42"/>
      <c r="AG33" s="472" t="str">
        <f aca="false">IF(TITLE_NUMBER_PR_CHANGE="",IF(TITLE_NUMBER_PR="","",TITLE_NUMBER_PR),TITLE_NUMBER_PR_CHANGE)</f>
        <v>403-гвс, 404-гвс, 406-гвс</v>
      </c>
      <c r="AH33" s="472"/>
      <c r="AI33" s="472"/>
      <c r="AJ33" s="472"/>
      <c r="AK33" s="472"/>
      <c r="AL33" s="472"/>
      <c r="AM33" s="472"/>
      <c r="AN33" s="472"/>
      <c r="AO33" s="472"/>
      <c r="AP33" s="472"/>
      <c r="AQ33" s="42"/>
      <c r="AR33" s="472" t="str">
        <f aca="false">IF(TITLE_NUMBER_PR_CHANGE="",IF(TITLE_NUMBER_PR="","",TITLE_NUMBER_PR),TITLE_NUMBER_PR_CHANGE)</f>
        <v>403-гвс, 404-гвс, 406-гвс</v>
      </c>
      <c r="AS33" s="472"/>
      <c r="AT33" s="472"/>
      <c r="AU33" s="472"/>
      <c r="AV33" s="472"/>
      <c r="AW33" s="472"/>
      <c r="AX33" s="472"/>
      <c r="AY33" s="472"/>
      <c r="AZ33" s="472"/>
      <c r="BA33" s="472"/>
      <c r="BB33" s="42"/>
      <c r="BC33" s="472" t="str">
        <f aca="false">IF(TITLE_NUMBER_PR_CHANGE="",IF(TITLE_NUMBER_PR="","",TITLE_NUMBER_PR),TITLE_NUMBER_PR_CHANGE)</f>
        <v>403-гвс, 404-гвс, 406-гвс</v>
      </c>
      <c r="BD33" s="472"/>
      <c r="BE33" s="472"/>
      <c r="BF33" s="472"/>
      <c r="BG33" s="472"/>
      <c r="BH33" s="472"/>
      <c r="BI33" s="472"/>
      <c r="BJ33" s="472"/>
      <c r="BK33" s="472"/>
      <c r="BL33" s="472"/>
      <c r="BM33" s="42"/>
      <c r="BN33" s="472" t="str">
        <f aca="false">IF(TITLE_NUMBER_PR_CHANGE="",IF(TITLE_NUMBER_PR="","",TITLE_NUMBER_PR),TITLE_NUMBER_PR_CHANGE)</f>
        <v>403-гвс, 404-гвс, 406-гвс</v>
      </c>
      <c r="BO33" s="472"/>
      <c r="BP33" s="472"/>
      <c r="BQ33" s="472"/>
      <c r="BR33" s="472"/>
      <c r="BS33" s="472"/>
      <c r="BT33" s="472"/>
      <c r="BU33" s="472"/>
      <c r="BV33" s="472"/>
      <c r="BW33" s="472"/>
      <c r="BX33" s="42"/>
      <c r="BY33" s="472" t="str">
        <f aca="false">IF(TITLE_NUMBER_PR_CHANGE="",IF(TITLE_NUMBER_PR="","",TITLE_NUMBER_PR),TITLE_NUMBER_PR_CHANGE)</f>
        <v>403-гвс, 404-гвс, 406-гвс</v>
      </c>
      <c r="BZ33" s="472"/>
      <c r="CA33" s="472"/>
      <c r="CB33" s="472"/>
      <c r="CC33" s="472"/>
      <c r="CD33" s="472"/>
      <c r="CE33" s="472"/>
      <c r="CF33" s="472"/>
      <c r="CG33" s="472"/>
      <c r="CH33" s="472"/>
      <c r="CI33" s="42"/>
      <c r="CJ33" s="472" t="str">
        <f aca="false">IF(TITLE_NUMBER_PR_CHANGE="",IF(TITLE_NUMBER_PR="","",TITLE_NUMBER_PR),TITLE_NUMBER_PR_CHANGE)</f>
        <v>403-гвс, 404-гвс, 406-гвс</v>
      </c>
      <c r="CK33" s="472"/>
      <c r="CL33" s="472"/>
      <c r="CM33" s="472"/>
      <c r="CN33" s="472"/>
      <c r="CO33" s="472"/>
      <c r="CP33" s="472"/>
      <c r="CQ33" s="472"/>
      <c r="CR33" s="472"/>
      <c r="CS33" s="472"/>
      <c r="CT33" s="42"/>
      <c r="CU33" s="472" t="str">
        <f aca="false">IF(TITLE_NUMBER_PR_CHANGE="",IF(TITLE_NUMBER_PR="","",TITLE_NUMBER_PR),TITLE_NUMBER_PR_CHANGE)</f>
        <v>403-гвс, 404-гвс, 406-гвс</v>
      </c>
      <c r="CV33" s="472"/>
      <c r="CW33" s="472"/>
      <c r="CX33" s="472"/>
      <c r="CY33" s="472"/>
      <c r="CZ33" s="472"/>
      <c r="DA33" s="472"/>
      <c r="DB33" s="472"/>
      <c r="DC33" s="472"/>
      <c r="DD33" s="472"/>
      <c r="DE33" s="42"/>
      <c r="DF33" s="472" t="str">
        <f aca="false">IF(TITLE_NUMBER_PR_CHANGE="",IF(TITLE_NUMBER_PR="","",TITLE_NUMBER_PR),TITLE_NUMBER_PR_CHANGE)</f>
        <v>403-гвс, 404-гвс, 406-гвс</v>
      </c>
      <c r="DG33" s="472"/>
      <c r="DH33" s="472"/>
      <c r="DI33" s="472"/>
      <c r="DJ33" s="472"/>
      <c r="DK33" s="472"/>
      <c r="DL33" s="472"/>
      <c r="DM33" s="472"/>
      <c r="DN33" s="472"/>
      <c r="DO33" s="472"/>
      <c r="DP33" s="42"/>
      <c r="DQ33" s="472" t="str">
        <f aca="false">IF(TITLE_NUMBER_PR_CHANGE="",IF(TITLE_NUMBER_PR="","",TITLE_NUMBER_PR),TITLE_NUMBER_PR_CHANGE)</f>
        <v>403-гвс, 404-гвс, 406-гвс</v>
      </c>
      <c r="DR33" s="472"/>
      <c r="DS33" s="472"/>
      <c r="DT33" s="472"/>
      <c r="DU33" s="472"/>
      <c r="DV33" s="472"/>
      <c r="DW33" s="472"/>
      <c r="DX33" s="472"/>
      <c r="DY33" s="472"/>
      <c r="DZ33" s="472"/>
      <c r="EA33" s="42"/>
      <c r="EB33" s="472" t="str">
        <f aca="false">IF(TITLE_NUMBER_PR_CHANGE="",IF(TITLE_NUMBER_PR="","",TITLE_NUMBER_PR),TITLE_NUMBER_PR_CHANGE)</f>
        <v>403-гвс, 404-гвс, 406-гвс</v>
      </c>
      <c r="EC33" s="472"/>
      <c r="ED33" s="472"/>
      <c r="EE33" s="472"/>
      <c r="EF33" s="472"/>
      <c r="EG33" s="472"/>
      <c r="EH33" s="472"/>
      <c r="EI33" s="472"/>
      <c r="EJ33" s="472"/>
      <c r="EK33" s="472"/>
      <c r="EL33" s="42"/>
      <c r="EM33" s="42"/>
      <c r="EN33" s="473"/>
      <c r="EO33" s="117"/>
      <c r="EP33" s="117"/>
      <c r="EQ33" s="117"/>
      <c r="ER33" s="117"/>
      <c r="ES33" s="117"/>
    </row>
    <row r="34" s="174" customFormat="true" ht="0.75" hidden="false" customHeight="true" outlineLevel="0" collapsed="false">
      <c r="A34" s="139"/>
      <c r="B34" s="139"/>
      <c r="C34" s="139"/>
      <c r="D34" s="139"/>
      <c r="E34" s="139"/>
      <c r="F34" s="139"/>
      <c r="G34" s="139"/>
      <c r="H34" s="139"/>
      <c r="I34" s="139"/>
      <c r="J34" s="139"/>
      <c r="K34" s="139"/>
      <c r="L34" s="417"/>
      <c r="M34" s="139"/>
      <c r="N34" s="139"/>
      <c r="O34" s="139"/>
      <c r="S34" s="42"/>
      <c r="T34" s="42"/>
      <c r="U34" s="127"/>
      <c r="V34" s="42"/>
      <c r="W34" s="42"/>
      <c r="X34" s="42"/>
      <c r="Y34" s="42"/>
      <c r="Z34" s="42"/>
      <c r="AA34" s="42"/>
      <c r="AB34" s="42"/>
      <c r="AC34" s="42"/>
      <c r="AD34" s="42"/>
      <c r="AE34" s="42"/>
      <c r="AF34" s="47" t="s">
        <v>441</v>
      </c>
      <c r="AG34" s="42"/>
      <c r="AH34" s="42"/>
      <c r="AI34" s="42"/>
      <c r="AJ34" s="42"/>
      <c r="AK34" s="42"/>
      <c r="AL34" s="42"/>
      <c r="AM34" s="42"/>
      <c r="AN34" s="42"/>
      <c r="AO34" s="42"/>
      <c r="AP34" s="42"/>
      <c r="AQ34" s="47" t="s">
        <v>441</v>
      </c>
      <c r="AR34" s="42"/>
      <c r="AS34" s="42"/>
      <c r="AT34" s="42"/>
      <c r="AU34" s="42"/>
      <c r="AV34" s="42"/>
      <c r="AW34" s="42"/>
      <c r="AX34" s="42"/>
      <c r="AY34" s="42"/>
      <c r="AZ34" s="42"/>
      <c r="BA34" s="42"/>
      <c r="BB34" s="47" t="s">
        <v>441</v>
      </c>
      <c r="BC34" s="42"/>
      <c r="BD34" s="42"/>
      <c r="BE34" s="42"/>
      <c r="BF34" s="42"/>
      <c r="BG34" s="42"/>
      <c r="BH34" s="42"/>
      <c r="BI34" s="42"/>
      <c r="BJ34" s="42"/>
      <c r="BK34" s="42"/>
      <c r="BL34" s="42"/>
      <c r="BM34" s="47" t="s">
        <v>441</v>
      </c>
      <c r="BN34" s="42"/>
      <c r="BO34" s="42"/>
      <c r="BP34" s="42"/>
      <c r="BQ34" s="42"/>
      <c r="BR34" s="42"/>
      <c r="BS34" s="42"/>
      <c r="BT34" s="42"/>
      <c r="BU34" s="42"/>
      <c r="BV34" s="42"/>
      <c r="BW34" s="42"/>
      <c r="BX34" s="47" t="s">
        <v>441</v>
      </c>
      <c r="BY34" s="42"/>
      <c r="BZ34" s="42"/>
      <c r="CA34" s="42"/>
      <c r="CB34" s="42"/>
      <c r="CC34" s="42"/>
      <c r="CD34" s="42"/>
      <c r="CE34" s="42"/>
      <c r="CF34" s="42"/>
      <c r="CG34" s="42"/>
      <c r="CH34" s="42"/>
      <c r="CI34" s="47" t="s">
        <v>441</v>
      </c>
      <c r="CJ34" s="42"/>
      <c r="CK34" s="42"/>
      <c r="CL34" s="42"/>
      <c r="CM34" s="42"/>
      <c r="CN34" s="42"/>
      <c r="CO34" s="42"/>
      <c r="CP34" s="42"/>
      <c r="CQ34" s="42"/>
      <c r="CR34" s="42"/>
      <c r="CS34" s="42"/>
      <c r="CT34" s="47" t="s">
        <v>441</v>
      </c>
      <c r="CU34" s="42"/>
      <c r="CV34" s="42"/>
      <c r="CW34" s="42"/>
      <c r="CX34" s="42"/>
      <c r="CY34" s="42"/>
      <c r="CZ34" s="42"/>
      <c r="DA34" s="42"/>
      <c r="DB34" s="42"/>
      <c r="DC34" s="42"/>
      <c r="DD34" s="42"/>
      <c r="DE34" s="47" t="s">
        <v>441</v>
      </c>
      <c r="DF34" s="42"/>
      <c r="DG34" s="42"/>
      <c r="DH34" s="42"/>
      <c r="DI34" s="42"/>
      <c r="DJ34" s="42"/>
      <c r="DK34" s="42"/>
      <c r="DL34" s="42"/>
      <c r="DM34" s="42"/>
      <c r="DN34" s="42"/>
      <c r="DO34" s="42"/>
      <c r="DP34" s="47" t="s">
        <v>441</v>
      </c>
      <c r="DQ34" s="42"/>
      <c r="DR34" s="42"/>
      <c r="DS34" s="42"/>
      <c r="DT34" s="42"/>
      <c r="DU34" s="42"/>
      <c r="DV34" s="42"/>
      <c r="DW34" s="42"/>
      <c r="DX34" s="42"/>
      <c r="DY34" s="42"/>
      <c r="DZ34" s="42"/>
      <c r="EA34" s="47" t="s">
        <v>441</v>
      </c>
      <c r="EB34" s="42"/>
      <c r="EC34" s="42"/>
      <c r="ED34" s="42"/>
      <c r="EE34" s="42"/>
      <c r="EF34" s="42"/>
      <c r="EG34" s="42"/>
      <c r="EH34" s="42"/>
      <c r="EI34" s="42"/>
      <c r="EJ34" s="42"/>
      <c r="EK34" s="42"/>
      <c r="EL34" s="47" t="s">
        <v>441</v>
      </c>
      <c r="EO34" s="117"/>
      <c r="EP34" s="117"/>
      <c r="EQ34" s="117"/>
      <c r="ER34" s="117"/>
      <c r="ES34" s="117"/>
    </row>
    <row r="35" customFormat="false" ht="14.25" hidden="false" customHeight="true" outlineLevel="0" collapsed="false">
      <c r="Q35" s="467"/>
      <c r="R35" s="467"/>
      <c r="S35" s="468"/>
      <c r="T35" s="79"/>
      <c r="U35" s="475"/>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t="s">
        <v>100</v>
      </c>
      <c r="AS35" s="476"/>
      <c r="AT35" s="476"/>
      <c r="AU35" s="476"/>
      <c r="AV35" s="476"/>
      <c r="AW35" s="476"/>
      <c r="AX35" s="476"/>
      <c r="AY35" s="476"/>
      <c r="AZ35" s="476"/>
      <c r="BA35" s="476"/>
      <c r="BB35" s="476"/>
      <c r="BC35" s="476" t="s">
        <v>100</v>
      </c>
      <c r="BD35" s="476"/>
      <c r="BE35" s="476"/>
      <c r="BF35" s="476"/>
      <c r="BG35" s="476"/>
      <c r="BH35" s="476"/>
      <c r="BI35" s="476"/>
      <c r="BJ35" s="476"/>
      <c r="BK35" s="476"/>
      <c r="BL35" s="476"/>
      <c r="BM35" s="476"/>
      <c r="BN35" s="476" t="s">
        <v>100</v>
      </c>
      <c r="BO35" s="476"/>
      <c r="BP35" s="476"/>
      <c r="BQ35" s="476"/>
      <c r="BR35" s="476"/>
      <c r="BS35" s="476"/>
      <c r="BT35" s="476"/>
      <c r="BU35" s="476"/>
      <c r="BV35" s="476"/>
      <c r="BW35" s="476"/>
      <c r="BX35" s="476"/>
      <c r="BY35" s="476" t="s">
        <v>100</v>
      </c>
      <c r="BZ35" s="476"/>
      <c r="CA35" s="476"/>
      <c r="CB35" s="476"/>
      <c r="CC35" s="476"/>
      <c r="CD35" s="476"/>
      <c r="CE35" s="476"/>
      <c r="CF35" s="476"/>
      <c r="CG35" s="476"/>
      <c r="CH35" s="476"/>
      <c r="CI35" s="476"/>
      <c r="CJ35" s="476" t="s">
        <v>100</v>
      </c>
      <c r="CK35" s="476"/>
      <c r="CL35" s="476"/>
      <c r="CM35" s="476"/>
      <c r="CN35" s="476"/>
      <c r="CO35" s="476"/>
      <c r="CP35" s="476"/>
      <c r="CQ35" s="476"/>
      <c r="CR35" s="476"/>
      <c r="CS35" s="476"/>
      <c r="CT35" s="476"/>
      <c r="CU35" s="476" t="s">
        <v>100</v>
      </c>
      <c r="CV35" s="476"/>
      <c r="CW35" s="476"/>
      <c r="CX35" s="476"/>
      <c r="CY35" s="476"/>
      <c r="CZ35" s="476"/>
      <c r="DA35" s="476"/>
      <c r="DB35" s="476"/>
      <c r="DC35" s="476"/>
      <c r="DD35" s="476"/>
      <c r="DE35" s="476"/>
      <c r="DF35" s="476" t="s">
        <v>100</v>
      </c>
      <c r="DG35" s="476"/>
      <c r="DH35" s="476"/>
      <c r="DI35" s="476"/>
      <c r="DJ35" s="476"/>
      <c r="DK35" s="476"/>
      <c r="DL35" s="476"/>
      <c r="DM35" s="476"/>
      <c r="DN35" s="476"/>
      <c r="DO35" s="476"/>
      <c r="DP35" s="476"/>
      <c r="DQ35" s="476" t="s">
        <v>100</v>
      </c>
      <c r="DR35" s="476"/>
      <c r="DS35" s="476"/>
      <c r="DT35" s="476"/>
      <c r="DU35" s="476"/>
      <c r="DV35" s="476"/>
      <c r="DW35" s="476"/>
      <c r="DX35" s="476"/>
      <c r="DY35" s="476"/>
      <c r="DZ35" s="476"/>
      <c r="EA35" s="476"/>
      <c r="EB35" s="476" t="s">
        <v>100</v>
      </c>
      <c r="EC35" s="476"/>
      <c r="ED35" s="476"/>
      <c r="EE35" s="476"/>
      <c r="EF35" s="476"/>
      <c r="EG35" s="476"/>
      <c r="EH35" s="476"/>
      <c r="EI35" s="476"/>
      <c r="EJ35" s="476"/>
      <c r="EK35" s="476"/>
      <c r="EL35" s="476"/>
    </row>
    <row r="36" customFormat="false" ht="14.25" hidden="false" customHeight="true" outlineLevel="0" collapsed="false">
      <c r="Q36" s="467"/>
      <c r="R36" s="467"/>
      <c r="S36" s="133" t="s">
        <v>316</v>
      </c>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t="s">
        <v>316</v>
      </c>
      <c r="AS36" s="133"/>
      <c r="AT36" s="133"/>
      <c r="AU36" s="133"/>
      <c r="AV36" s="133"/>
      <c r="AW36" s="133"/>
      <c r="AX36" s="133"/>
      <c r="AY36" s="133"/>
      <c r="AZ36" s="133"/>
      <c r="BA36" s="133"/>
      <c r="BB36" s="133"/>
      <c r="BC36" s="133" t="s">
        <v>316</v>
      </c>
      <c r="BD36" s="133"/>
      <c r="BE36" s="133"/>
      <c r="BF36" s="133"/>
      <c r="BG36" s="133"/>
      <c r="BH36" s="133"/>
      <c r="BI36" s="133"/>
      <c r="BJ36" s="133"/>
      <c r="BK36" s="133"/>
      <c r="BL36" s="133"/>
      <c r="BM36" s="133"/>
      <c r="BN36" s="133" t="s">
        <v>316</v>
      </c>
      <c r="BO36" s="133"/>
      <c r="BP36" s="133"/>
      <c r="BQ36" s="133"/>
      <c r="BR36" s="133"/>
      <c r="BS36" s="133"/>
      <c r="BT36" s="133"/>
      <c r="BU36" s="133"/>
      <c r="BV36" s="133"/>
      <c r="BW36" s="133"/>
      <c r="BX36" s="133"/>
      <c r="BY36" s="133" t="s">
        <v>316</v>
      </c>
      <c r="BZ36" s="133"/>
      <c r="CA36" s="133"/>
      <c r="CB36" s="133"/>
      <c r="CC36" s="133"/>
      <c r="CD36" s="133"/>
      <c r="CE36" s="133"/>
      <c r="CF36" s="133"/>
      <c r="CG36" s="133"/>
      <c r="CH36" s="133"/>
      <c r="CI36" s="133"/>
      <c r="CJ36" s="133" t="s">
        <v>316</v>
      </c>
      <c r="CK36" s="133"/>
      <c r="CL36" s="133"/>
      <c r="CM36" s="133"/>
      <c r="CN36" s="133"/>
      <c r="CO36" s="133"/>
      <c r="CP36" s="133"/>
      <c r="CQ36" s="133"/>
      <c r="CR36" s="133"/>
      <c r="CS36" s="133"/>
      <c r="CT36" s="133"/>
      <c r="CU36" s="133" t="s">
        <v>316</v>
      </c>
      <c r="CV36" s="133"/>
      <c r="CW36" s="133"/>
      <c r="CX36" s="133"/>
      <c r="CY36" s="133"/>
      <c r="CZ36" s="133"/>
      <c r="DA36" s="133"/>
      <c r="DB36" s="133"/>
      <c r="DC36" s="133"/>
      <c r="DD36" s="133"/>
      <c r="DE36" s="133"/>
      <c r="DF36" s="133" t="s">
        <v>316</v>
      </c>
      <c r="DG36" s="133"/>
      <c r="DH36" s="133"/>
      <c r="DI36" s="133"/>
      <c r="DJ36" s="133"/>
      <c r="DK36" s="133"/>
      <c r="DL36" s="133"/>
      <c r="DM36" s="133"/>
      <c r="DN36" s="133"/>
      <c r="DO36" s="133"/>
      <c r="DP36" s="133"/>
      <c r="DQ36" s="133" t="s">
        <v>316</v>
      </c>
      <c r="DR36" s="133"/>
      <c r="DS36" s="133"/>
      <c r="DT36" s="133"/>
      <c r="DU36" s="133"/>
      <c r="DV36" s="133"/>
      <c r="DW36" s="133"/>
      <c r="DX36" s="133"/>
      <c r="DY36" s="133"/>
      <c r="DZ36" s="133"/>
      <c r="EA36" s="133"/>
      <c r="EB36" s="133" t="s">
        <v>316</v>
      </c>
      <c r="EC36" s="133"/>
      <c r="ED36" s="133"/>
      <c r="EE36" s="133"/>
      <c r="EF36" s="133"/>
      <c r="EG36" s="133"/>
      <c r="EH36" s="133"/>
      <c r="EI36" s="133"/>
      <c r="EJ36" s="133"/>
      <c r="EK36" s="133"/>
      <c r="EL36" s="133"/>
      <c r="EM36" s="133"/>
      <c r="EN36" s="133"/>
    </row>
    <row r="37" customFormat="false" ht="14.25" hidden="false" customHeight="true" outlineLevel="0" collapsed="false">
      <c r="Q37" s="467"/>
      <c r="R37" s="467"/>
      <c r="S37" s="419" t="s">
        <v>84</v>
      </c>
      <c r="T37" s="394" t="s">
        <v>442</v>
      </c>
      <c r="U37" s="478"/>
      <c r="V37" s="300" t="s">
        <v>443</v>
      </c>
      <c r="W37" s="300"/>
      <c r="X37" s="300"/>
      <c r="Y37" s="300"/>
      <c r="Z37" s="300"/>
      <c r="AA37" s="300"/>
      <c r="AB37" s="300"/>
      <c r="AC37" s="300"/>
      <c r="AD37" s="300"/>
      <c r="AE37" s="300"/>
      <c r="AF37" s="394" t="s">
        <v>444</v>
      </c>
      <c r="AG37" s="300" t="s">
        <v>443</v>
      </c>
      <c r="AH37" s="300"/>
      <c r="AI37" s="300"/>
      <c r="AJ37" s="300"/>
      <c r="AK37" s="300"/>
      <c r="AL37" s="300"/>
      <c r="AM37" s="300"/>
      <c r="AN37" s="300"/>
      <c r="AO37" s="300"/>
      <c r="AP37" s="300"/>
      <c r="AQ37" s="394" t="s">
        <v>445</v>
      </c>
      <c r="AR37" s="300" t="s">
        <v>443</v>
      </c>
      <c r="AS37" s="300"/>
      <c r="AT37" s="300"/>
      <c r="AU37" s="300"/>
      <c r="AV37" s="300"/>
      <c r="AW37" s="300"/>
      <c r="AX37" s="300"/>
      <c r="AY37" s="300"/>
      <c r="AZ37" s="300"/>
      <c r="BA37" s="300"/>
      <c r="BB37" s="394" t="s">
        <v>444</v>
      </c>
      <c r="BC37" s="300" t="s">
        <v>443</v>
      </c>
      <c r="BD37" s="300"/>
      <c r="BE37" s="300"/>
      <c r="BF37" s="300"/>
      <c r="BG37" s="300"/>
      <c r="BH37" s="300"/>
      <c r="BI37" s="300"/>
      <c r="BJ37" s="300"/>
      <c r="BK37" s="300"/>
      <c r="BL37" s="300"/>
      <c r="BM37" s="394" t="s">
        <v>444</v>
      </c>
      <c r="BN37" s="300" t="s">
        <v>443</v>
      </c>
      <c r="BO37" s="300"/>
      <c r="BP37" s="300"/>
      <c r="BQ37" s="300"/>
      <c r="BR37" s="300"/>
      <c r="BS37" s="300"/>
      <c r="BT37" s="300"/>
      <c r="BU37" s="300"/>
      <c r="BV37" s="300"/>
      <c r="BW37" s="300"/>
      <c r="BX37" s="394" t="s">
        <v>444</v>
      </c>
      <c r="BY37" s="300" t="s">
        <v>443</v>
      </c>
      <c r="BZ37" s="300"/>
      <c r="CA37" s="300"/>
      <c r="CB37" s="300"/>
      <c r="CC37" s="300"/>
      <c r="CD37" s="300"/>
      <c r="CE37" s="300"/>
      <c r="CF37" s="300"/>
      <c r="CG37" s="300"/>
      <c r="CH37" s="300"/>
      <c r="CI37" s="394" t="s">
        <v>444</v>
      </c>
      <c r="CJ37" s="300" t="s">
        <v>443</v>
      </c>
      <c r="CK37" s="300"/>
      <c r="CL37" s="300"/>
      <c r="CM37" s="300"/>
      <c r="CN37" s="300"/>
      <c r="CO37" s="300"/>
      <c r="CP37" s="300"/>
      <c r="CQ37" s="300"/>
      <c r="CR37" s="300"/>
      <c r="CS37" s="300"/>
      <c r="CT37" s="394" t="s">
        <v>444</v>
      </c>
      <c r="CU37" s="300" t="s">
        <v>443</v>
      </c>
      <c r="CV37" s="300"/>
      <c r="CW37" s="300"/>
      <c r="CX37" s="300"/>
      <c r="CY37" s="300"/>
      <c r="CZ37" s="300"/>
      <c r="DA37" s="300"/>
      <c r="DB37" s="300"/>
      <c r="DC37" s="300"/>
      <c r="DD37" s="300"/>
      <c r="DE37" s="394" t="s">
        <v>444</v>
      </c>
      <c r="DF37" s="300" t="s">
        <v>443</v>
      </c>
      <c r="DG37" s="300"/>
      <c r="DH37" s="300"/>
      <c r="DI37" s="300"/>
      <c r="DJ37" s="300"/>
      <c r="DK37" s="300"/>
      <c r="DL37" s="300"/>
      <c r="DM37" s="300"/>
      <c r="DN37" s="300"/>
      <c r="DO37" s="300"/>
      <c r="DP37" s="394" t="s">
        <v>444</v>
      </c>
      <c r="DQ37" s="300" t="s">
        <v>443</v>
      </c>
      <c r="DR37" s="300"/>
      <c r="DS37" s="300"/>
      <c r="DT37" s="300"/>
      <c r="DU37" s="300"/>
      <c r="DV37" s="300"/>
      <c r="DW37" s="300"/>
      <c r="DX37" s="300"/>
      <c r="DY37" s="300"/>
      <c r="DZ37" s="300"/>
      <c r="EA37" s="394" t="s">
        <v>444</v>
      </c>
      <c r="EB37" s="300" t="s">
        <v>443</v>
      </c>
      <c r="EC37" s="300"/>
      <c r="ED37" s="300"/>
      <c r="EE37" s="300"/>
      <c r="EF37" s="300"/>
      <c r="EG37" s="300"/>
      <c r="EH37" s="300"/>
      <c r="EI37" s="300"/>
      <c r="EJ37" s="300"/>
      <c r="EK37" s="300"/>
      <c r="EL37" s="394" t="s">
        <v>444</v>
      </c>
      <c r="EM37" s="479" t="s">
        <v>446</v>
      </c>
      <c r="EN37" s="133"/>
    </row>
    <row r="38" customFormat="false" ht="18.75" hidden="false" customHeight="true" outlineLevel="0" collapsed="false">
      <c r="Q38" s="467"/>
      <c r="R38" s="467"/>
      <c r="S38" s="419"/>
      <c r="T38" s="394"/>
      <c r="U38" s="480"/>
      <c r="V38" s="145" t="s">
        <v>546</v>
      </c>
      <c r="W38" s="301" t="s">
        <v>547</v>
      </c>
      <c r="X38" s="301"/>
      <c r="Y38" s="301"/>
      <c r="Z38" s="301" t="s">
        <v>548</v>
      </c>
      <c r="AA38" s="301"/>
      <c r="AB38" s="301"/>
      <c r="AC38" s="133" t="s">
        <v>450</v>
      </c>
      <c r="AD38" s="133"/>
      <c r="AE38" s="133"/>
      <c r="AF38" s="394"/>
      <c r="AG38" s="145" t="s">
        <v>546</v>
      </c>
      <c r="AH38" s="301" t="s">
        <v>547</v>
      </c>
      <c r="AI38" s="301"/>
      <c r="AJ38" s="301"/>
      <c r="AK38" s="301" t="s">
        <v>548</v>
      </c>
      <c r="AL38" s="301"/>
      <c r="AM38" s="301"/>
      <c r="AN38" s="133" t="s">
        <v>450</v>
      </c>
      <c r="AO38" s="133"/>
      <c r="AP38" s="133"/>
      <c r="AQ38" s="394"/>
      <c r="AR38" s="145" t="s">
        <v>546</v>
      </c>
      <c r="AS38" s="301" t="s">
        <v>547</v>
      </c>
      <c r="AT38" s="301"/>
      <c r="AU38" s="301"/>
      <c r="AV38" s="301" t="s">
        <v>548</v>
      </c>
      <c r="AW38" s="301"/>
      <c r="AX38" s="301"/>
      <c r="AY38" s="133" t="s">
        <v>450</v>
      </c>
      <c r="AZ38" s="133"/>
      <c r="BA38" s="133"/>
      <c r="BB38" s="394"/>
      <c r="BC38" s="145" t="s">
        <v>546</v>
      </c>
      <c r="BD38" s="301" t="s">
        <v>547</v>
      </c>
      <c r="BE38" s="301"/>
      <c r="BF38" s="301"/>
      <c r="BG38" s="301" t="s">
        <v>548</v>
      </c>
      <c r="BH38" s="301"/>
      <c r="BI38" s="301"/>
      <c r="BJ38" s="133" t="s">
        <v>450</v>
      </c>
      <c r="BK38" s="133"/>
      <c r="BL38" s="133"/>
      <c r="BM38" s="394"/>
      <c r="BN38" s="145" t="s">
        <v>546</v>
      </c>
      <c r="BO38" s="301" t="s">
        <v>547</v>
      </c>
      <c r="BP38" s="301"/>
      <c r="BQ38" s="301"/>
      <c r="BR38" s="301" t="s">
        <v>548</v>
      </c>
      <c r="BS38" s="301"/>
      <c r="BT38" s="301"/>
      <c r="BU38" s="133" t="s">
        <v>450</v>
      </c>
      <c r="BV38" s="133"/>
      <c r="BW38" s="133"/>
      <c r="BX38" s="394"/>
      <c r="BY38" s="145" t="s">
        <v>546</v>
      </c>
      <c r="BZ38" s="301" t="s">
        <v>547</v>
      </c>
      <c r="CA38" s="301"/>
      <c r="CB38" s="301"/>
      <c r="CC38" s="301" t="s">
        <v>548</v>
      </c>
      <c r="CD38" s="301"/>
      <c r="CE38" s="301"/>
      <c r="CF38" s="133" t="s">
        <v>450</v>
      </c>
      <c r="CG38" s="133"/>
      <c r="CH38" s="133"/>
      <c r="CI38" s="394"/>
      <c r="CJ38" s="145" t="s">
        <v>546</v>
      </c>
      <c r="CK38" s="301" t="s">
        <v>547</v>
      </c>
      <c r="CL38" s="301"/>
      <c r="CM38" s="301"/>
      <c r="CN38" s="301" t="s">
        <v>548</v>
      </c>
      <c r="CO38" s="301"/>
      <c r="CP38" s="301"/>
      <c r="CQ38" s="133" t="s">
        <v>450</v>
      </c>
      <c r="CR38" s="133"/>
      <c r="CS38" s="133"/>
      <c r="CT38" s="394"/>
      <c r="CU38" s="145" t="s">
        <v>546</v>
      </c>
      <c r="CV38" s="301" t="s">
        <v>547</v>
      </c>
      <c r="CW38" s="301"/>
      <c r="CX38" s="301"/>
      <c r="CY38" s="301" t="s">
        <v>548</v>
      </c>
      <c r="CZ38" s="301"/>
      <c r="DA38" s="301"/>
      <c r="DB38" s="133" t="s">
        <v>450</v>
      </c>
      <c r="DC38" s="133"/>
      <c r="DD38" s="133"/>
      <c r="DE38" s="394"/>
      <c r="DF38" s="145" t="s">
        <v>546</v>
      </c>
      <c r="DG38" s="301" t="s">
        <v>547</v>
      </c>
      <c r="DH38" s="301"/>
      <c r="DI38" s="301"/>
      <c r="DJ38" s="301" t="s">
        <v>548</v>
      </c>
      <c r="DK38" s="301"/>
      <c r="DL38" s="301"/>
      <c r="DM38" s="133" t="s">
        <v>450</v>
      </c>
      <c r="DN38" s="133"/>
      <c r="DO38" s="133"/>
      <c r="DP38" s="394"/>
      <c r="DQ38" s="145" t="s">
        <v>546</v>
      </c>
      <c r="DR38" s="301" t="s">
        <v>547</v>
      </c>
      <c r="DS38" s="301"/>
      <c r="DT38" s="301"/>
      <c r="DU38" s="301" t="s">
        <v>548</v>
      </c>
      <c r="DV38" s="301"/>
      <c r="DW38" s="301"/>
      <c r="DX38" s="133" t="s">
        <v>450</v>
      </c>
      <c r="DY38" s="133"/>
      <c r="DZ38" s="133"/>
      <c r="EA38" s="394"/>
      <c r="EB38" s="145" t="s">
        <v>546</v>
      </c>
      <c r="EC38" s="301" t="s">
        <v>547</v>
      </c>
      <c r="ED38" s="301"/>
      <c r="EE38" s="301"/>
      <c r="EF38" s="301" t="s">
        <v>548</v>
      </c>
      <c r="EG38" s="301"/>
      <c r="EH38" s="301"/>
      <c r="EI38" s="133" t="s">
        <v>450</v>
      </c>
      <c r="EJ38" s="133"/>
      <c r="EK38" s="133"/>
      <c r="EL38" s="394"/>
      <c r="EM38" s="479"/>
      <c r="EN38" s="133"/>
    </row>
    <row r="39" s="42" customFormat="true" ht="18.75" hidden="false" customHeight="true" outlineLevel="0" collapsed="false">
      <c r="A39" s="45"/>
      <c r="B39" s="45"/>
      <c r="C39" s="45"/>
      <c r="D39" s="45"/>
      <c r="E39" s="45"/>
      <c r="F39" s="45"/>
      <c r="G39" s="45"/>
      <c r="H39" s="45"/>
      <c r="I39" s="45"/>
      <c r="J39" s="45"/>
      <c r="K39" s="45"/>
      <c r="L39" s="44"/>
      <c r="M39" s="51"/>
      <c r="N39" s="51"/>
      <c r="O39" s="51"/>
      <c r="P39" s="50"/>
      <c r="Q39" s="467"/>
      <c r="R39" s="467"/>
      <c r="S39" s="419"/>
      <c r="T39" s="394"/>
      <c r="U39" s="480"/>
      <c r="V39" s="145"/>
      <c r="W39" s="301" t="s">
        <v>549</v>
      </c>
      <c r="X39" s="301" t="s">
        <v>550</v>
      </c>
      <c r="Y39" s="301"/>
      <c r="Z39" s="301" t="s">
        <v>551</v>
      </c>
      <c r="AA39" s="301" t="s">
        <v>550</v>
      </c>
      <c r="AB39" s="301"/>
      <c r="AC39" s="133"/>
      <c r="AD39" s="133"/>
      <c r="AE39" s="133"/>
      <c r="AF39" s="394"/>
      <c r="AG39" s="145"/>
      <c r="AH39" s="301" t="s">
        <v>549</v>
      </c>
      <c r="AI39" s="301" t="s">
        <v>550</v>
      </c>
      <c r="AJ39" s="301"/>
      <c r="AK39" s="301" t="s">
        <v>551</v>
      </c>
      <c r="AL39" s="301" t="s">
        <v>550</v>
      </c>
      <c r="AM39" s="301"/>
      <c r="AN39" s="133"/>
      <c r="AO39" s="133"/>
      <c r="AP39" s="133"/>
      <c r="AQ39" s="394"/>
      <c r="AR39" s="145"/>
      <c r="AS39" s="301" t="s">
        <v>549</v>
      </c>
      <c r="AT39" s="301" t="s">
        <v>550</v>
      </c>
      <c r="AU39" s="301"/>
      <c r="AV39" s="301" t="s">
        <v>551</v>
      </c>
      <c r="AW39" s="301" t="s">
        <v>550</v>
      </c>
      <c r="AX39" s="301"/>
      <c r="AY39" s="133"/>
      <c r="AZ39" s="133"/>
      <c r="BA39" s="133"/>
      <c r="BB39" s="394"/>
      <c r="BC39" s="145"/>
      <c r="BD39" s="301" t="s">
        <v>549</v>
      </c>
      <c r="BE39" s="301" t="s">
        <v>550</v>
      </c>
      <c r="BF39" s="301"/>
      <c r="BG39" s="301" t="s">
        <v>551</v>
      </c>
      <c r="BH39" s="301" t="s">
        <v>550</v>
      </c>
      <c r="BI39" s="301"/>
      <c r="BJ39" s="133"/>
      <c r="BK39" s="133"/>
      <c r="BL39" s="133"/>
      <c r="BM39" s="394"/>
      <c r="BN39" s="145"/>
      <c r="BO39" s="301" t="s">
        <v>549</v>
      </c>
      <c r="BP39" s="301" t="s">
        <v>550</v>
      </c>
      <c r="BQ39" s="301"/>
      <c r="BR39" s="301" t="s">
        <v>551</v>
      </c>
      <c r="BS39" s="301" t="s">
        <v>550</v>
      </c>
      <c r="BT39" s="301"/>
      <c r="BU39" s="133"/>
      <c r="BV39" s="133"/>
      <c r="BW39" s="133"/>
      <c r="BX39" s="394"/>
      <c r="BY39" s="145"/>
      <c r="BZ39" s="301" t="s">
        <v>549</v>
      </c>
      <c r="CA39" s="301" t="s">
        <v>550</v>
      </c>
      <c r="CB39" s="301"/>
      <c r="CC39" s="301" t="s">
        <v>551</v>
      </c>
      <c r="CD39" s="301" t="s">
        <v>550</v>
      </c>
      <c r="CE39" s="301"/>
      <c r="CF39" s="133"/>
      <c r="CG39" s="133"/>
      <c r="CH39" s="133"/>
      <c r="CI39" s="394"/>
      <c r="CJ39" s="145"/>
      <c r="CK39" s="301" t="s">
        <v>549</v>
      </c>
      <c r="CL39" s="301" t="s">
        <v>550</v>
      </c>
      <c r="CM39" s="301"/>
      <c r="CN39" s="301" t="s">
        <v>551</v>
      </c>
      <c r="CO39" s="301" t="s">
        <v>550</v>
      </c>
      <c r="CP39" s="301"/>
      <c r="CQ39" s="133"/>
      <c r="CR39" s="133"/>
      <c r="CS39" s="133"/>
      <c r="CT39" s="394"/>
      <c r="CU39" s="145"/>
      <c r="CV39" s="301" t="s">
        <v>549</v>
      </c>
      <c r="CW39" s="301" t="s">
        <v>550</v>
      </c>
      <c r="CX39" s="301"/>
      <c r="CY39" s="301" t="s">
        <v>551</v>
      </c>
      <c r="CZ39" s="301" t="s">
        <v>550</v>
      </c>
      <c r="DA39" s="301"/>
      <c r="DB39" s="133"/>
      <c r="DC39" s="133"/>
      <c r="DD39" s="133"/>
      <c r="DE39" s="394"/>
      <c r="DF39" s="145"/>
      <c r="DG39" s="301" t="s">
        <v>549</v>
      </c>
      <c r="DH39" s="301" t="s">
        <v>550</v>
      </c>
      <c r="DI39" s="301"/>
      <c r="DJ39" s="301" t="s">
        <v>551</v>
      </c>
      <c r="DK39" s="301" t="s">
        <v>550</v>
      </c>
      <c r="DL39" s="301"/>
      <c r="DM39" s="133"/>
      <c r="DN39" s="133"/>
      <c r="DO39" s="133"/>
      <c r="DP39" s="394"/>
      <c r="DQ39" s="145"/>
      <c r="DR39" s="301" t="s">
        <v>549</v>
      </c>
      <c r="DS39" s="301" t="s">
        <v>550</v>
      </c>
      <c r="DT39" s="301"/>
      <c r="DU39" s="301" t="s">
        <v>551</v>
      </c>
      <c r="DV39" s="301" t="s">
        <v>550</v>
      </c>
      <c r="DW39" s="301"/>
      <c r="DX39" s="133"/>
      <c r="DY39" s="133"/>
      <c r="DZ39" s="133"/>
      <c r="EA39" s="394"/>
      <c r="EB39" s="145"/>
      <c r="EC39" s="301" t="s">
        <v>549</v>
      </c>
      <c r="ED39" s="301" t="s">
        <v>550</v>
      </c>
      <c r="EE39" s="301"/>
      <c r="EF39" s="301" t="s">
        <v>551</v>
      </c>
      <c r="EG39" s="301" t="s">
        <v>550</v>
      </c>
      <c r="EH39" s="301"/>
      <c r="EI39" s="133"/>
      <c r="EJ39" s="133"/>
      <c r="EK39" s="133"/>
      <c r="EL39" s="394"/>
      <c r="EM39" s="479"/>
      <c r="EN39" s="133"/>
      <c r="EO39" s="47"/>
      <c r="EP39" s="47"/>
      <c r="EQ39" s="47"/>
      <c r="ER39" s="47"/>
      <c r="ES39" s="47"/>
    </row>
    <row r="40" customFormat="false" ht="59.25" hidden="false" customHeight="true" outlineLevel="0" collapsed="false">
      <c r="A40" s="139"/>
      <c r="B40" s="139" t="s">
        <v>142</v>
      </c>
      <c r="C40" s="139" t="s">
        <v>143</v>
      </c>
      <c r="D40" s="139" t="s">
        <v>144</v>
      </c>
      <c r="E40" s="417" t="s">
        <v>451</v>
      </c>
      <c r="F40" s="417" t="s">
        <v>452</v>
      </c>
      <c r="G40" s="417" t="s">
        <v>453</v>
      </c>
      <c r="H40" s="417"/>
      <c r="I40" s="417" t="s">
        <v>504</v>
      </c>
      <c r="J40" s="417" t="s">
        <v>456</v>
      </c>
      <c r="K40" s="417" t="s">
        <v>505</v>
      </c>
      <c r="L40" s="417" t="s">
        <v>432</v>
      </c>
      <c r="Q40" s="467"/>
      <c r="R40" s="467"/>
      <c r="S40" s="419"/>
      <c r="T40" s="394"/>
      <c r="U40" s="481"/>
      <c r="V40" s="145"/>
      <c r="W40" s="301"/>
      <c r="X40" s="301" t="s">
        <v>552</v>
      </c>
      <c r="Y40" s="301" t="s">
        <v>553</v>
      </c>
      <c r="Z40" s="301"/>
      <c r="AA40" s="301" t="s">
        <v>554</v>
      </c>
      <c r="AB40" s="301" t="s">
        <v>555</v>
      </c>
      <c r="AC40" s="184" t="s">
        <v>460</v>
      </c>
      <c r="AD40" s="184" t="s">
        <v>461</v>
      </c>
      <c r="AE40" s="184"/>
      <c r="AF40" s="394"/>
      <c r="AG40" s="145"/>
      <c r="AH40" s="301"/>
      <c r="AI40" s="301" t="s">
        <v>552</v>
      </c>
      <c r="AJ40" s="301" t="s">
        <v>553</v>
      </c>
      <c r="AK40" s="301"/>
      <c r="AL40" s="301" t="s">
        <v>554</v>
      </c>
      <c r="AM40" s="301" t="s">
        <v>555</v>
      </c>
      <c r="AN40" s="184" t="s">
        <v>460</v>
      </c>
      <c r="AO40" s="184" t="s">
        <v>461</v>
      </c>
      <c r="AP40" s="184"/>
      <c r="AQ40" s="394"/>
      <c r="AR40" s="145"/>
      <c r="AS40" s="301"/>
      <c r="AT40" s="301" t="s">
        <v>552</v>
      </c>
      <c r="AU40" s="301" t="s">
        <v>553</v>
      </c>
      <c r="AV40" s="301"/>
      <c r="AW40" s="301" t="s">
        <v>554</v>
      </c>
      <c r="AX40" s="301" t="s">
        <v>555</v>
      </c>
      <c r="AY40" s="184" t="s">
        <v>460</v>
      </c>
      <c r="AZ40" s="184" t="s">
        <v>461</v>
      </c>
      <c r="BA40" s="184"/>
      <c r="BB40" s="394"/>
      <c r="BC40" s="145"/>
      <c r="BD40" s="301"/>
      <c r="BE40" s="301" t="s">
        <v>552</v>
      </c>
      <c r="BF40" s="301" t="s">
        <v>553</v>
      </c>
      <c r="BG40" s="301"/>
      <c r="BH40" s="301" t="s">
        <v>554</v>
      </c>
      <c r="BI40" s="301" t="s">
        <v>555</v>
      </c>
      <c r="BJ40" s="184" t="s">
        <v>460</v>
      </c>
      <c r="BK40" s="184" t="s">
        <v>461</v>
      </c>
      <c r="BL40" s="184"/>
      <c r="BM40" s="394"/>
      <c r="BN40" s="145"/>
      <c r="BO40" s="301"/>
      <c r="BP40" s="301" t="s">
        <v>552</v>
      </c>
      <c r="BQ40" s="301" t="s">
        <v>553</v>
      </c>
      <c r="BR40" s="301"/>
      <c r="BS40" s="301" t="s">
        <v>554</v>
      </c>
      <c r="BT40" s="301" t="s">
        <v>555</v>
      </c>
      <c r="BU40" s="184" t="s">
        <v>460</v>
      </c>
      <c r="BV40" s="184" t="s">
        <v>461</v>
      </c>
      <c r="BW40" s="184"/>
      <c r="BX40" s="394"/>
      <c r="BY40" s="145"/>
      <c r="BZ40" s="301"/>
      <c r="CA40" s="301" t="s">
        <v>552</v>
      </c>
      <c r="CB40" s="301" t="s">
        <v>553</v>
      </c>
      <c r="CC40" s="301"/>
      <c r="CD40" s="301" t="s">
        <v>554</v>
      </c>
      <c r="CE40" s="301" t="s">
        <v>555</v>
      </c>
      <c r="CF40" s="184" t="s">
        <v>460</v>
      </c>
      <c r="CG40" s="184" t="s">
        <v>461</v>
      </c>
      <c r="CH40" s="184"/>
      <c r="CI40" s="394"/>
      <c r="CJ40" s="145"/>
      <c r="CK40" s="301"/>
      <c r="CL40" s="301" t="s">
        <v>552</v>
      </c>
      <c r="CM40" s="301" t="s">
        <v>553</v>
      </c>
      <c r="CN40" s="301"/>
      <c r="CO40" s="301" t="s">
        <v>554</v>
      </c>
      <c r="CP40" s="301" t="s">
        <v>555</v>
      </c>
      <c r="CQ40" s="184" t="s">
        <v>460</v>
      </c>
      <c r="CR40" s="184" t="s">
        <v>461</v>
      </c>
      <c r="CS40" s="184"/>
      <c r="CT40" s="394"/>
      <c r="CU40" s="145"/>
      <c r="CV40" s="301"/>
      <c r="CW40" s="301" t="s">
        <v>552</v>
      </c>
      <c r="CX40" s="301" t="s">
        <v>553</v>
      </c>
      <c r="CY40" s="301"/>
      <c r="CZ40" s="301" t="s">
        <v>554</v>
      </c>
      <c r="DA40" s="301" t="s">
        <v>555</v>
      </c>
      <c r="DB40" s="184" t="s">
        <v>460</v>
      </c>
      <c r="DC40" s="184" t="s">
        <v>461</v>
      </c>
      <c r="DD40" s="184"/>
      <c r="DE40" s="394"/>
      <c r="DF40" s="145"/>
      <c r="DG40" s="301"/>
      <c r="DH40" s="301" t="s">
        <v>552</v>
      </c>
      <c r="DI40" s="301" t="s">
        <v>553</v>
      </c>
      <c r="DJ40" s="301"/>
      <c r="DK40" s="301" t="s">
        <v>554</v>
      </c>
      <c r="DL40" s="301" t="s">
        <v>555</v>
      </c>
      <c r="DM40" s="184" t="s">
        <v>460</v>
      </c>
      <c r="DN40" s="184" t="s">
        <v>461</v>
      </c>
      <c r="DO40" s="184"/>
      <c r="DP40" s="394"/>
      <c r="DQ40" s="145"/>
      <c r="DR40" s="301"/>
      <c r="DS40" s="301" t="s">
        <v>552</v>
      </c>
      <c r="DT40" s="301" t="s">
        <v>553</v>
      </c>
      <c r="DU40" s="301"/>
      <c r="DV40" s="301" t="s">
        <v>554</v>
      </c>
      <c r="DW40" s="301" t="s">
        <v>555</v>
      </c>
      <c r="DX40" s="184" t="s">
        <v>460</v>
      </c>
      <c r="DY40" s="184" t="s">
        <v>461</v>
      </c>
      <c r="DZ40" s="184"/>
      <c r="EA40" s="394"/>
      <c r="EB40" s="145"/>
      <c r="EC40" s="301"/>
      <c r="ED40" s="301" t="s">
        <v>552</v>
      </c>
      <c r="EE40" s="301" t="s">
        <v>553</v>
      </c>
      <c r="EF40" s="301"/>
      <c r="EG40" s="301" t="s">
        <v>554</v>
      </c>
      <c r="EH40" s="301" t="s">
        <v>555</v>
      </c>
      <c r="EI40" s="184" t="s">
        <v>460</v>
      </c>
      <c r="EJ40" s="184" t="s">
        <v>461</v>
      </c>
      <c r="EK40" s="184"/>
      <c r="EL40" s="394"/>
      <c r="EM40" s="479"/>
      <c r="EN40" s="133"/>
    </row>
    <row r="41" s="119" customFormat="true" ht="11.25" hidden="true" customHeight="true" outlineLevel="0" collapsed="false">
      <c r="A41" s="139"/>
      <c r="B41" s="139"/>
      <c r="C41" s="139"/>
      <c r="D41" s="139"/>
      <c r="E41" s="139"/>
      <c r="F41" s="139"/>
      <c r="G41" s="139"/>
      <c r="H41" s="139"/>
      <c r="I41" s="139"/>
      <c r="J41" s="139"/>
      <c r="K41" s="139"/>
      <c r="L41" s="417"/>
      <c r="M41" s="51"/>
      <c r="N41" s="51"/>
      <c r="O41" s="51"/>
      <c r="P41" s="482"/>
      <c r="Q41" s="483"/>
      <c r="R41" s="484" t="n">
        <v>1</v>
      </c>
      <c r="S41" s="485" t="s">
        <v>117</v>
      </c>
      <c r="T41" s="486" t="s">
        <v>99</v>
      </c>
      <c r="U41" s="487" t="str">
        <f aca="true">OFFSET(U41,0,-1)</f>
        <v>2</v>
      </c>
      <c r="V41" s="488" t="n">
        <f aca="true">OFFSET(V41,0,-1)+1</f>
        <v>3</v>
      </c>
      <c r="W41" s="367"/>
      <c r="X41" s="367"/>
      <c r="Y41" s="367"/>
      <c r="Z41" s="367"/>
      <c r="AA41" s="367"/>
      <c r="AB41" s="367"/>
      <c r="AC41" s="488" t="n">
        <f aca="true">OFFSET(AC41,0,-1)+1</f>
        <v>1</v>
      </c>
      <c r="AD41" s="488" t="n">
        <f aca="true">OFFSET(AD41,0,-1)+1</f>
        <v>2</v>
      </c>
      <c r="AE41" s="488"/>
      <c r="AF41" s="488" t="n">
        <f aca="true">OFFSET(AF41,0,-2)+1</f>
        <v>3</v>
      </c>
      <c r="AG41" s="488" t="n">
        <f aca="true">OFFSET(AG41,0,-1)+1</f>
        <v>4</v>
      </c>
      <c r="AH41" s="488"/>
      <c r="AI41" s="488"/>
      <c r="AJ41" s="488"/>
      <c r="AK41" s="488"/>
      <c r="AL41" s="488"/>
      <c r="AM41" s="488" t="n">
        <f aca="true">OFFSET(AM41,0,-1)+1</f>
        <v>1</v>
      </c>
      <c r="AN41" s="488" t="n">
        <f aca="true">OFFSET(AN41,0,-1)+1</f>
        <v>2</v>
      </c>
      <c r="AO41" s="488" t="n">
        <f aca="true">OFFSET(AO41,0,-1)+1</f>
        <v>3</v>
      </c>
      <c r="AP41" s="488"/>
      <c r="AQ41" s="488" t="n">
        <f aca="true">OFFSET(AQ41,0,-2)+1</f>
        <v>4</v>
      </c>
      <c r="AR41" s="488" t="n">
        <f aca="true">OFFSET(AR41,0,-1)+1</f>
        <v>5</v>
      </c>
      <c r="AS41" s="367"/>
      <c r="AT41" s="367"/>
      <c r="AU41" s="367"/>
      <c r="AV41" s="367"/>
      <c r="AW41" s="367"/>
      <c r="AX41" s="367"/>
      <c r="AY41" s="488" t="n">
        <f aca="true">OFFSET(AY41,0,-1)+1</f>
        <v>1</v>
      </c>
      <c r="AZ41" s="488" t="n">
        <f aca="true">OFFSET(AZ41,0,-1)+1</f>
        <v>2</v>
      </c>
      <c r="BA41" s="488"/>
      <c r="BB41" s="488" t="n">
        <f aca="true">OFFSET(BB41,0,-2)+1</f>
        <v>3</v>
      </c>
      <c r="BC41" s="488" t="n">
        <f aca="true">OFFSET(BC41,0,-1)+1</f>
        <v>4</v>
      </c>
      <c r="BD41" s="367"/>
      <c r="BE41" s="367"/>
      <c r="BF41" s="367"/>
      <c r="BG41" s="367"/>
      <c r="BH41" s="367"/>
      <c r="BI41" s="367"/>
      <c r="BJ41" s="488" t="n">
        <f aca="true">OFFSET(BJ41,0,-1)+1</f>
        <v>1</v>
      </c>
      <c r="BK41" s="488" t="n">
        <f aca="true">OFFSET(BK41,0,-1)+1</f>
        <v>2</v>
      </c>
      <c r="BL41" s="488"/>
      <c r="BM41" s="488" t="n">
        <f aca="true">OFFSET(BM41,0,-2)+1</f>
        <v>3</v>
      </c>
      <c r="BN41" s="488" t="n">
        <f aca="true">OFFSET(BN41,0,-1)+1</f>
        <v>4</v>
      </c>
      <c r="BO41" s="367"/>
      <c r="BP41" s="367"/>
      <c r="BQ41" s="367"/>
      <c r="BR41" s="367"/>
      <c r="BS41" s="367"/>
      <c r="BT41" s="367"/>
      <c r="BU41" s="488" t="n">
        <f aca="true">OFFSET(BU41,0,-1)+1</f>
        <v>1</v>
      </c>
      <c r="BV41" s="488" t="n">
        <f aca="true">OFFSET(BV41,0,-1)+1</f>
        <v>2</v>
      </c>
      <c r="BW41" s="488"/>
      <c r="BX41" s="488" t="n">
        <f aca="true">OFFSET(BX41,0,-2)+1</f>
        <v>3</v>
      </c>
      <c r="BY41" s="488" t="n">
        <f aca="true">OFFSET(BY41,0,-1)+1</f>
        <v>4</v>
      </c>
      <c r="BZ41" s="367"/>
      <c r="CA41" s="367"/>
      <c r="CB41" s="367"/>
      <c r="CC41" s="367"/>
      <c r="CD41" s="367"/>
      <c r="CE41" s="367"/>
      <c r="CF41" s="488" t="n">
        <f aca="true">OFFSET(CF41,0,-1)+1</f>
        <v>1</v>
      </c>
      <c r="CG41" s="488" t="n">
        <f aca="true">OFFSET(CG41,0,-1)+1</f>
        <v>2</v>
      </c>
      <c r="CH41" s="488"/>
      <c r="CI41" s="488" t="n">
        <f aca="true">OFFSET(CI41,0,-2)+1</f>
        <v>3</v>
      </c>
      <c r="CJ41" s="488" t="n">
        <f aca="true">OFFSET(CJ41,0,-1)+1</f>
        <v>4</v>
      </c>
      <c r="CK41" s="367"/>
      <c r="CL41" s="367"/>
      <c r="CM41" s="367"/>
      <c r="CN41" s="367"/>
      <c r="CO41" s="367"/>
      <c r="CP41" s="367"/>
      <c r="CQ41" s="488" t="n">
        <f aca="true">OFFSET(CQ41,0,-1)+1</f>
        <v>1</v>
      </c>
      <c r="CR41" s="488" t="n">
        <f aca="true">OFFSET(CR41,0,-1)+1</f>
        <v>2</v>
      </c>
      <c r="CS41" s="488"/>
      <c r="CT41" s="488" t="n">
        <f aca="true">OFFSET(CT41,0,-2)+1</f>
        <v>3</v>
      </c>
      <c r="CU41" s="488" t="n">
        <f aca="true">OFFSET(CU41,0,-1)+1</f>
        <v>4</v>
      </c>
      <c r="CV41" s="367"/>
      <c r="CW41" s="367"/>
      <c r="CX41" s="367"/>
      <c r="CY41" s="367"/>
      <c r="CZ41" s="367"/>
      <c r="DA41" s="367"/>
      <c r="DB41" s="488" t="n">
        <f aca="true">OFFSET(DB41,0,-1)+1</f>
        <v>1</v>
      </c>
      <c r="DC41" s="488" t="n">
        <f aca="true">OFFSET(DC41,0,-1)+1</f>
        <v>2</v>
      </c>
      <c r="DD41" s="488"/>
      <c r="DE41" s="488" t="n">
        <f aca="true">OFFSET(DE41,0,-2)+1</f>
        <v>3</v>
      </c>
      <c r="DF41" s="488" t="n">
        <f aca="true">OFFSET(DF41,0,-1)+1</f>
        <v>4</v>
      </c>
      <c r="DG41" s="367"/>
      <c r="DH41" s="367"/>
      <c r="DI41" s="367"/>
      <c r="DJ41" s="367"/>
      <c r="DK41" s="367"/>
      <c r="DL41" s="367"/>
      <c r="DM41" s="488" t="n">
        <f aca="true">OFFSET(DM41,0,-1)+1</f>
        <v>1</v>
      </c>
      <c r="DN41" s="488" t="n">
        <f aca="true">OFFSET(DN41,0,-1)+1</f>
        <v>2</v>
      </c>
      <c r="DO41" s="488"/>
      <c r="DP41" s="488" t="n">
        <f aca="true">OFFSET(DP41,0,-2)+1</f>
        <v>3</v>
      </c>
      <c r="DQ41" s="488" t="n">
        <f aca="true">OFFSET(DQ41,0,-1)+1</f>
        <v>4</v>
      </c>
      <c r="DR41" s="367"/>
      <c r="DS41" s="367"/>
      <c r="DT41" s="367"/>
      <c r="DU41" s="367"/>
      <c r="DV41" s="367"/>
      <c r="DW41" s="367"/>
      <c r="DX41" s="488" t="n">
        <f aca="true">OFFSET(DX41,0,-1)+1</f>
        <v>1</v>
      </c>
      <c r="DY41" s="488" t="n">
        <f aca="true">OFFSET(DY41,0,-1)+1</f>
        <v>2</v>
      </c>
      <c r="DZ41" s="488"/>
      <c r="EA41" s="488" t="n">
        <f aca="true">OFFSET(EA41,0,-2)+1</f>
        <v>3</v>
      </c>
      <c r="EB41" s="488" t="n">
        <f aca="true">OFFSET(EB41,0,-1)+1</f>
        <v>4</v>
      </c>
      <c r="EC41" s="367"/>
      <c r="ED41" s="367"/>
      <c r="EE41" s="367"/>
      <c r="EF41" s="367"/>
      <c r="EG41" s="367"/>
      <c r="EH41" s="367"/>
      <c r="EI41" s="488" t="n">
        <f aca="true">OFFSET(EI41,0,-1)+1</f>
        <v>1</v>
      </c>
      <c r="EJ41" s="488" t="n">
        <f aca="true">OFFSET(EJ41,0,-1)+1</f>
        <v>2</v>
      </c>
      <c r="EK41" s="488"/>
      <c r="EL41" s="488" t="n">
        <f aca="true">OFFSET(EL41,0,-2)+1</f>
        <v>3</v>
      </c>
      <c r="EM41" s="487" t="n">
        <f aca="true">OFFSET(EM41,0,-1)</f>
        <v>3</v>
      </c>
      <c r="EN41" s="488" t="n">
        <f aca="true">OFFSET(EN41,0,-1)+1</f>
        <v>4</v>
      </c>
      <c r="EO41" s="47"/>
      <c r="EP41" s="47"/>
      <c r="EQ41" s="47"/>
      <c r="ER41" s="47"/>
      <c r="ES41" s="47"/>
    </row>
    <row r="42" customFormat="false" ht="23.25" hidden="false" customHeight="true" outlineLevel="0" collapsed="false">
      <c r="A42" s="415" t="s">
        <v>258</v>
      </c>
      <c r="B42" s="415"/>
      <c r="C42" s="415"/>
      <c r="D42" s="415"/>
      <c r="E42" s="416" t="n">
        <v>1</v>
      </c>
      <c r="F42" s="415"/>
      <c r="G42" s="415"/>
      <c r="H42" s="415"/>
      <c r="I42" s="415"/>
      <c r="J42" s="415"/>
      <c r="K42" s="415"/>
      <c r="L42" s="417"/>
      <c r="M42" s="40"/>
      <c r="N42" s="40"/>
      <c r="O42" s="40"/>
      <c r="Q42" s="131"/>
      <c r="R42" s="418"/>
      <c r="S42" s="419" t="n">
        <f aca="false">INDEX(PT_DIFFERENTIATION_NUM_NTAR,MATCH(A42,PT_DIFFERENTIATION_NTAR_ID,0))</f>
        <v>1</v>
      </c>
      <c r="T42" s="420" t="s">
        <v>130</v>
      </c>
      <c r="U42" s="421"/>
      <c r="V42" s="422"/>
      <c r="W42" s="422"/>
      <c r="X42" s="422"/>
      <c r="Y42" s="422"/>
      <c r="Z42" s="422"/>
      <c r="AA42" s="422"/>
      <c r="AB42" s="422"/>
      <c r="AC42" s="422"/>
      <c r="AD42" s="422"/>
      <c r="AE42" s="422"/>
      <c r="AF42" s="422"/>
      <c r="AG42" s="423" t="str">
        <f aca="false">INDEX(PT_DIFFERENTIATION_NTAR,MATCH(A42,PT_DIFFERENTIATION_NTAR_ID,0))</f>
        <v>тариф на горячую воду в закрытой системе горячего водоснабжения</v>
      </c>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3"/>
      <c r="BH42" s="423"/>
      <c r="BI42" s="423"/>
      <c r="BJ42" s="423"/>
      <c r="BK42" s="423"/>
      <c r="BL42" s="423"/>
      <c r="BM42" s="423"/>
      <c r="BN42" s="423"/>
      <c r="BO42" s="423"/>
      <c r="BP42" s="423"/>
      <c r="BQ42" s="423"/>
      <c r="BR42" s="423"/>
      <c r="BS42" s="423"/>
      <c r="BT42" s="423"/>
      <c r="BU42" s="423"/>
      <c r="BV42" s="423"/>
      <c r="BW42" s="423"/>
      <c r="BX42" s="423"/>
      <c r="BY42" s="423"/>
      <c r="BZ42" s="423"/>
      <c r="CA42" s="423"/>
      <c r="CB42" s="423"/>
      <c r="CC42" s="423"/>
      <c r="CD42" s="423"/>
      <c r="CE42" s="423"/>
      <c r="CF42" s="423"/>
      <c r="CG42" s="423"/>
      <c r="CH42" s="423"/>
      <c r="CI42" s="423"/>
      <c r="CJ42" s="423"/>
      <c r="CK42" s="423"/>
      <c r="CL42" s="423"/>
      <c r="CM42" s="423"/>
      <c r="CN42" s="423"/>
      <c r="CO42" s="423"/>
      <c r="CP42" s="423"/>
      <c r="CQ42" s="423"/>
      <c r="CR42" s="423"/>
      <c r="CS42" s="423"/>
      <c r="CT42" s="423"/>
      <c r="CU42" s="423"/>
      <c r="CV42" s="423"/>
      <c r="CW42" s="423"/>
      <c r="CX42" s="423"/>
      <c r="CY42" s="423"/>
      <c r="CZ42" s="423"/>
      <c r="DA42" s="423"/>
      <c r="DB42" s="423"/>
      <c r="DC42" s="423"/>
      <c r="DD42" s="423"/>
      <c r="DE42" s="423"/>
      <c r="DF42" s="423"/>
      <c r="DG42" s="423"/>
      <c r="DH42" s="423"/>
      <c r="DI42" s="423"/>
      <c r="DJ42" s="423"/>
      <c r="DK42" s="423"/>
      <c r="DL42" s="423"/>
      <c r="DM42" s="423"/>
      <c r="DN42" s="423"/>
      <c r="DO42" s="423"/>
      <c r="DP42" s="423"/>
      <c r="DQ42" s="423"/>
      <c r="DR42" s="423"/>
      <c r="DS42" s="423"/>
      <c r="DT42" s="423"/>
      <c r="DU42" s="423"/>
      <c r="DV42" s="423"/>
      <c r="DW42" s="423"/>
      <c r="DX42" s="423"/>
      <c r="DY42" s="423"/>
      <c r="DZ42" s="423"/>
      <c r="EA42" s="423"/>
      <c r="EB42" s="423"/>
      <c r="EC42" s="423"/>
      <c r="ED42" s="423"/>
      <c r="EE42" s="423"/>
      <c r="EF42" s="423"/>
      <c r="EG42" s="423"/>
      <c r="EH42" s="423"/>
      <c r="EI42" s="423"/>
      <c r="EJ42" s="423"/>
      <c r="EK42" s="423"/>
      <c r="EL42" s="423"/>
      <c r="EM42" s="423"/>
      <c r="EN42" s="42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P42" s="117"/>
      <c r="EQ42" s="117" t="str">
        <f aca="false">IF(T42="","",T42)</f>
        <v>Наименование тарифа</v>
      </c>
      <c r="ER42" s="117"/>
      <c r="ES42" s="117"/>
    </row>
    <row r="43" customFormat="false" ht="23.25" hidden="false" customHeight="true" outlineLevel="0" collapsed="false">
      <c r="A43" s="415" t="s">
        <v>258</v>
      </c>
      <c r="B43" s="415" t="s">
        <v>259</v>
      </c>
      <c r="C43" s="415"/>
      <c r="D43" s="415"/>
      <c r="E43" s="416"/>
      <c r="F43" s="416" t="n">
        <v>1</v>
      </c>
      <c r="G43" s="415"/>
      <c r="H43" s="415"/>
      <c r="I43" s="415"/>
      <c r="J43" s="415"/>
      <c r="K43" s="415"/>
      <c r="L43" s="417"/>
      <c r="M43" s="40"/>
      <c r="N43" s="40"/>
      <c r="O43" s="40"/>
      <c r="P43" s="43"/>
      <c r="Q43" s="425"/>
      <c r="R43" s="426"/>
      <c r="S43" s="419" t="str">
        <f aca="false">INDEX(PT_DIFFERENTIATION_NUM_TER,MATCH(B43,PT_DIFFERENTIATION_TER_ID,0))</f>
        <v>1.1</v>
      </c>
      <c r="T43" s="427" t="s">
        <v>413</v>
      </c>
      <c r="U43" s="421"/>
      <c r="V43" s="422"/>
      <c r="W43" s="422"/>
      <c r="X43" s="422"/>
      <c r="Y43" s="422"/>
      <c r="Z43" s="422"/>
      <c r="AA43" s="422"/>
      <c r="AB43" s="422"/>
      <c r="AC43" s="422"/>
      <c r="AD43" s="422"/>
      <c r="AE43" s="422"/>
      <c r="AF43" s="422"/>
      <c r="AG43" s="423" t="str">
        <f aca="false">INDEX(PT_DIFFERENTIATION_TER,MATCH(B43,PT_DIFFERENTIATION_TER_ID,0))</f>
        <v>Территория 1</v>
      </c>
      <c r="AH43" s="423"/>
      <c r="AI43" s="423"/>
      <c r="AJ43" s="423"/>
      <c r="AK43" s="423"/>
      <c r="AL43" s="423"/>
      <c r="AM43" s="423"/>
      <c r="AN43" s="423"/>
      <c r="AO43" s="423"/>
      <c r="AP43" s="423"/>
      <c r="AQ43" s="423"/>
      <c r="AR43" s="423"/>
      <c r="AS43" s="423"/>
      <c r="AT43" s="423"/>
      <c r="AU43" s="423"/>
      <c r="AV43" s="423"/>
      <c r="AW43" s="423"/>
      <c r="AX43" s="423"/>
      <c r="AY43" s="423"/>
      <c r="AZ43" s="423"/>
      <c r="BA43" s="423"/>
      <c r="BB43" s="423"/>
      <c r="BC43" s="423"/>
      <c r="BD43" s="423"/>
      <c r="BE43" s="423"/>
      <c r="BF43" s="423"/>
      <c r="BG43" s="423"/>
      <c r="BH43" s="423"/>
      <c r="BI43" s="423"/>
      <c r="BJ43" s="423"/>
      <c r="BK43" s="423"/>
      <c r="BL43" s="423"/>
      <c r="BM43" s="423"/>
      <c r="BN43" s="423"/>
      <c r="BO43" s="423"/>
      <c r="BP43" s="423"/>
      <c r="BQ43" s="423"/>
      <c r="BR43" s="423"/>
      <c r="BS43" s="423"/>
      <c r="BT43" s="423"/>
      <c r="BU43" s="423"/>
      <c r="BV43" s="423"/>
      <c r="BW43" s="423"/>
      <c r="BX43" s="423"/>
      <c r="BY43" s="423"/>
      <c r="BZ43" s="423"/>
      <c r="CA43" s="423"/>
      <c r="CB43" s="423"/>
      <c r="CC43" s="423"/>
      <c r="CD43" s="423"/>
      <c r="CE43" s="423"/>
      <c r="CF43" s="423"/>
      <c r="CG43" s="423"/>
      <c r="CH43" s="423"/>
      <c r="CI43" s="423"/>
      <c r="CJ43" s="423"/>
      <c r="CK43" s="423"/>
      <c r="CL43" s="423"/>
      <c r="CM43" s="423"/>
      <c r="CN43" s="423"/>
      <c r="CO43" s="423"/>
      <c r="CP43" s="423"/>
      <c r="CQ43" s="423"/>
      <c r="CR43" s="423"/>
      <c r="CS43" s="423"/>
      <c r="CT43" s="423"/>
      <c r="CU43" s="423"/>
      <c r="CV43" s="423"/>
      <c r="CW43" s="423"/>
      <c r="CX43" s="423"/>
      <c r="CY43" s="423"/>
      <c r="CZ43" s="423"/>
      <c r="DA43" s="423"/>
      <c r="DB43" s="423"/>
      <c r="DC43" s="423"/>
      <c r="DD43" s="423"/>
      <c r="DE43" s="423"/>
      <c r="DF43" s="423"/>
      <c r="DG43" s="423"/>
      <c r="DH43" s="423"/>
      <c r="DI43" s="423"/>
      <c r="DJ43" s="423"/>
      <c r="DK43" s="423"/>
      <c r="DL43" s="423"/>
      <c r="DM43" s="423"/>
      <c r="DN43" s="423"/>
      <c r="DO43" s="423"/>
      <c r="DP43" s="423"/>
      <c r="DQ43" s="423"/>
      <c r="DR43" s="423"/>
      <c r="DS43" s="423"/>
      <c r="DT43" s="423"/>
      <c r="DU43" s="423"/>
      <c r="DV43" s="423"/>
      <c r="DW43" s="423"/>
      <c r="DX43" s="423"/>
      <c r="DY43" s="423"/>
      <c r="DZ43" s="423"/>
      <c r="EA43" s="423"/>
      <c r="EB43" s="423"/>
      <c r="EC43" s="423"/>
      <c r="ED43" s="423"/>
      <c r="EE43" s="423"/>
      <c r="EF43" s="423"/>
      <c r="EG43" s="423"/>
      <c r="EH43" s="423"/>
      <c r="EI43" s="423"/>
      <c r="EJ43" s="423"/>
      <c r="EK43" s="423"/>
      <c r="EL43" s="423"/>
      <c r="EM43" s="423"/>
      <c r="EN43" s="424" t="s">
        <v>414</v>
      </c>
      <c r="EP43" s="117"/>
      <c r="EQ43" s="117" t="str">
        <f aca="false">IF(T43="","",T43)</f>
        <v>Территория действия тарифа</v>
      </c>
      <c r="ER43" s="117"/>
      <c r="ES43" s="117"/>
    </row>
    <row r="44" customFormat="false" ht="23.25" hidden="false" customHeight="true" outlineLevel="0" collapsed="false">
      <c r="A44" s="415" t="s">
        <v>258</v>
      </c>
      <c r="B44" s="415" t="s">
        <v>259</v>
      </c>
      <c r="C44" s="415" t="s">
        <v>260</v>
      </c>
      <c r="D44" s="415"/>
      <c r="E44" s="416"/>
      <c r="F44" s="416"/>
      <c r="G44" s="416" t="n">
        <v>1</v>
      </c>
      <c r="H44" s="415"/>
      <c r="I44" s="415"/>
      <c r="J44" s="415"/>
      <c r="K44" s="415"/>
      <c r="L44" s="417"/>
      <c r="M44" s="40"/>
      <c r="N44" s="40"/>
      <c r="O44" s="40"/>
      <c r="P44" s="428"/>
      <c r="Q44" s="425"/>
      <c r="R44" s="426"/>
      <c r="S44" s="419" t="str">
        <f aca="false">INDEX(PT_DIFFERENTIATION_NUM_CS,MATCH(C44,PT_DIFFERENTIATION_CS_ID,0))</f>
        <v>1.1.1</v>
      </c>
      <c r="T44" s="429" t="s">
        <v>544</v>
      </c>
      <c r="U44" s="421"/>
      <c r="V44" s="422"/>
      <c r="W44" s="422"/>
      <c r="X44" s="422"/>
      <c r="Y44" s="422"/>
      <c r="Z44" s="422"/>
      <c r="AA44" s="422"/>
      <c r="AB44" s="422"/>
      <c r="AC44" s="422"/>
      <c r="AD44" s="422"/>
      <c r="AE44" s="422"/>
      <c r="AF44" s="422"/>
      <c r="AG44" s="423" t="str">
        <f aca="false">INDEX(PT_DIFFERENTIATION_CS,MATCH(C44,PT_DIFFERENTIATION_CS_ID,0))</f>
        <v>без дифференциации</v>
      </c>
      <c r="AH44" s="423"/>
      <c r="AI44" s="423"/>
      <c r="AJ44" s="423"/>
      <c r="AK44" s="423"/>
      <c r="AL44" s="423"/>
      <c r="AM44" s="423"/>
      <c r="AN44" s="423"/>
      <c r="AO44" s="423"/>
      <c r="AP44" s="423"/>
      <c r="AQ44" s="423"/>
      <c r="AR44" s="423"/>
      <c r="AS44" s="423"/>
      <c r="AT44" s="423"/>
      <c r="AU44" s="423"/>
      <c r="AV44" s="423"/>
      <c r="AW44" s="423"/>
      <c r="AX44" s="423"/>
      <c r="AY44" s="423"/>
      <c r="AZ44" s="423"/>
      <c r="BA44" s="423"/>
      <c r="BB44" s="423"/>
      <c r="BC44" s="423"/>
      <c r="BD44" s="423"/>
      <c r="BE44" s="423"/>
      <c r="BF44" s="423"/>
      <c r="BG44" s="423"/>
      <c r="BH44" s="423"/>
      <c r="BI44" s="423"/>
      <c r="BJ44" s="423"/>
      <c r="BK44" s="423"/>
      <c r="BL44" s="423"/>
      <c r="BM44" s="423"/>
      <c r="BN44" s="423"/>
      <c r="BO44" s="423"/>
      <c r="BP44" s="423"/>
      <c r="BQ44" s="423"/>
      <c r="BR44" s="423"/>
      <c r="BS44" s="423"/>
      <c r="BT44" s="423"/>
      <c r="BU44" s="423"/>
      <c r="BV44" s="423"/>
      <c r="BW44" s="423"/>
      <c r="BX44" s="423"/>
      <c r="BY44" s="423"/>
      <c r="BZ44" s="423"/>
      <c r="CA44" s="423"/>
      <c r="CB44" s="423"/>
      <c r="CC44" s="423"/>
      <c r="CD44" s="423"/>
      <c r="CE44" s="423"/>
      <c r="CF44" s="423"/>
      <c r="CG44" s="423"/>
      <c r="CH44" s="423"/>
      <c r="CI44" s="423"/>
      <c r="CJ44" s="423"/>
      <c r="CK44" s="423"/>
      <c r="CL44" s="423"/>
      <c r="CM44" s="423"/>
      <c r="CN44" s="423"/>
      <c r="CO44" s="423"/>
      <c r="CP44" s="423"/>
      <c r="CQ44" s="423"/>
      <c r="CR44" s="423"/>
      <c r="CS44" s="423"/>
      <c r="CT44" s="423"/>
      <c r="CU44" s="423"/>
      <c r="CV44" s="423"/>
      <c r="CW44" s="423"/>
      <c r="CX44" s="423"/>
      <c r="CY44" s="423"/>
      <c r="CZ44" s="423"/>
      <c r="DA44" s="423"/>
      <c r="DB44" s="423"/>
      <c r="DC44" s="423"/>
      <c r="DD44" s="423"/>
      <c r="DE44" s="423"/>
      <c r="DF44" s="423"/>
      <c r="DG44" s="423"/>
      <c r="DH44" s="423"/>
      <c r="DI44" s="423"/>
      <c r="DJ44" s="423"/>
      <c r="DK44" s="423"/>
      <c r="DL44" s="423"/>
      <c r="DM44" s="423"/>
      <c r="DN44" s="423"/>
      <c r="DO44" s="423"/>
      <c r="DP44" s="423"/>
      <c r="DQ44" s="423"/>
      <c r="DR44" s="423"/>
      <c r="DS44" s="423"/>
      <c r="DT44" s="423"/>
      <c r="DU44" s="423"/>
      <c r="DV44" s="423"/>
      <c r="DW44" s="423"/>
      <c r="DX44" s="423"/>
      <c r="DY44" s="423"/>
      <c r="DZ44" s="423"/>
      <c r="EA44" s="423"/>
      <c r="EB44" s="423"/>
      <c r="EC44" s="423"/>
      <c r="ED44" s="423"/>
      <c r="EE44" s="423"/>
      <c r="EF44" s="423"/>
      <c r="EG44" s="423"/>
      <c r="EH44" s="423"/>
      <c r="EI44" s="423"/>
      <c r="EJ44" s="423"/>
      <c r="EK44" s="423"/>
      <c r="EL44" s="423"/>
      <c r="EM44" s="423"/>
      <c r="EN44" s="424" t="s">
        <v>545</v>
      </c>
      <c r="EP44" s="117"/>
      <c r="EQ44" s="117" t="str">
        <f aca="false">IF(T44="","",T44)</f>
        <v>Наименование централизованной системы горячего водоснабжения</v>
      </c>
      <c r="ER44" s="117"/>
      <c r="ES44" s="117"/>
    </row>
    <row r="45" customFormat="false" ht="23.25" hidden="false" customHeight="true" outlineLevel="0" collapsed="false">
      <c r="A45" s="415" t="s">
        <v>258</v>
      </c>
      <c r="B45" s="415" t="s">
        <v>259</v>
      </c>
      <c r="C45" s="415" t="s">
        <v>260</v>
      </c>
      <c r="D45" s="415" t="s">
        <v>556</v>
      </c>
      <c r="E45" s="416"/>
      <c r="F45" s="416"/>
      <c r="G45" s="416"/>
      <c r="H45" s="560"/>
      <c r="I45" s="431" t="str">
        <f aca="false">S44&amp;".1"</f>
        <v>1.1.1.1</v>
      </c>
      <c r="J45" s="415"/>
      <c r="K45" s="415"/>
      <c r="L45" s="417"/>
      <c r="P45" s="120" t="n">
        <v>1</v>
      </c>
      <c r="Q45" s="120"/>
      <c r="R45" s="432"/>
      <c r="S45" s="419" t="str">
        <f aca="false">$I45</f>
        <v>1.1.1.1</v>
      </c>
      <c r="T45" s="433" t="s">
        <v>497</v>
      </c>
      <c r="U45" s="421"/>
      <c r="V45" s="561"/>
      <c r="W45" s="561"/>
      <c r="X45" s="561"/>
      <c r="Y45" s="561"/>
      <c r="Z45" s="561"/>
      <c r="AA45" s="561"/>
      <c r="AB45" s="561"/>
      <c r="AC45" s="561"/>
      <c r="AD45" s="561"/>
      <c r="AE45" s="561"/>
      <c r="AF45" s="561"/>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5"/>
      <c r="BR45" s="245"/>
      <c r="BS45" s="245"/>
      <c r="BT45" s="245"/>
      <c r="BU45" s="245"/>
      <c r="BV45" s="245"/>
      <c r="BW45" s="245"/>
      <c r="BX45" s="245"/>
      <c r="BY45" s="245"/>
      <c r="BZ45" s="245"/>
      <c r="CA45" s="245"/>
      <c r="CB45" s="245"/>
      <c r="CC45" s="245"/>
      <c r="CD45" s="245"/>
      <c r="CE45" s="245"/>
      <c r="CF45" s="245"/>
      <c r="CG45" s="245"/>
      <c r="CH45" s="245"/>
      <c r="CI45" s="245"/>
      <c r="CJ45" s="245"/>
      <c r="CK45" s="245"/>
      <c r="CL45" s="245"/>
      <c r="CM45" s="245"/>
      <c r="CN45" s="245"/>
      <c r="CO45" s="245"/>
      <c r="CP45" s="245"/>
      <c r="CQ45" s="245"/>
      <c r="CR45" s="245"/>
      <c r="CS45" s="245"/>
      <c r="CT45" s="245"/>
      <c r="CU45" s="245"/>
      <c r="CV45" s="245"/>
      <c r="CW45" s="245"/>
      <c r="CX45" s="245"/>
      <c r="CY45" s="245"/>
      <c r="CZ45" s="245"/>
      <c r="DA45" s="245"/>
      <c r="DB45" s="245"/>
      <c r="DC45" s="245"/>
      <c r="DD45" s="245"/>
      <c r="DE45" s="245"/>
      <c r="DF45" s="245"/>
      <c r="DG45" s="245"/>
      <c r="DH45" s="245"/>
      <c r="DI45" s="245"/>
      <c r="DJ45" s="245"/>
      <c r="DK45" s="245"/>
      <c r="DL45" s="245"/>
      <c r="DM45" s="245"/>
      <c r="DN45" s="245"/>
      <c r="DO45" s="245"/>
      <c r="DP45" s="245"/>
      <c r="DQ45" s="245"/>
      <c r="DR45" s="245"/>
      <c r="DS45" s="245"/>
      <c r="DT45" s="245"/>
      <c r="DU45" s="245"/>
      <c r="DV45" s="245"/>
      <c r="DW45" s="245"/>
      <c r="DX45" s="245"/>
      <c r="DY45" s="245"/>
      <c r="DZ45" s="245"/>
      <c r="EA45" s="245"/>
      <c r="EB45" s="245"/>
      <c r="EC45" s="245"/>
      <c r="ED45" s="245"/>
      <c r="EE45" s="245"/>
      <c r="EF45" s="245"/>
      <c r="EG45" s="245"/>
      <c r="EH45" s="245"/>
      <c r="EI45" s="245"/>
      <c r="EJ45" s="245"/>
      <c r="EK45" s="245"/>
      <c r="EL45" s="245"/>
      <c r="EM45" s="245"/>
      <c r="EN45" s="424" t="s">
        <v>498</v>
      </c>
      <c r="EP45" s="117"/>
      <c r="EQ45" s="117" t="str">
        <f aca="false">IF(T45="","",T45)</f>
        <v>Наименование признака дифференциации</v>
      </c>
      <c r="ER45" s="117"/>
      <c r="ES45" s="117"/>
    </row>
    <row r="46" customFormat="false" ht="23.25" hidden="false" customHeight="true" outlineLevel="0" collapsed="false">
      <c r="A46" s="415" t="s">
        <v>258</v>
      </c>
      <c r="B46" s="415" t="s">
        <v>259</v>
      </c>
      <c r="C46" s="415" t="s">
        <v>260</v>
      </c>
      <c r="D46" s="415" t="s">
        <v>556</v>
      </c>
      <c r="E46" s="416"/>
      <c r="F46" s="416"/>
      <c r="G46" s="416"/>
      <c r="H46" s="416"/>
      <c r="I46" s="431"/>
      <c r="J46" s="431" t="str">
        <f aca="false">I45&amp;".1"</f>
        <v>1.1.1.1.1</v>
      </c>
      <c r="K46" s="415"/>
      <c r="L46" s="417" t="s">
        <v>422</v>
      </c>
      <c r="P46" s="120"/>
      <c r="Q46" s="120" t="n">
        <v>1</v>
      </c>
      <c r="R46" s="435"/>
      <c r="S46" s="419" t="str">
        <f aca="false">$J46</f>
        <v>1.1.1.1.1</v>
      </c>
      <c r="T46" s="436" t="s">
        <v>423</v>
      </c>
      <c r="U46" s="421"/>
      <c r="V46" s="434"/>
      <c r="W46" s="434"/>
      <c r="X46" s="434"/>
      <c r="Y46" s="434"/>
      <c r="Z46" s="434"/>
      <c r="AA46" s="434"/>
      <c r="AB46" s="434"/>
      <c r="AC46" s="434"/>
      <c r="AD46" s="434"/>
      <c r="AE46" s="434"/>
      <c r="AF46" s="434"/>
      <c r="AG46" s="434" t="s">
        <v>557</v>
      </c>
      <c r="AH46" s="434"/>
      <c r="AI46" s="434"/>
      <c r="AJ46" s="434"/>
      <c r="AK46" s="434"/>
      <c r="AL46" s="434"/>
      <c r="AM46" s="434"/>
      <c r="AN46" s="434"/>
      <c r="AO46" s="434"/>
      <c r="AP46" s="434"/>
      <c r="AQ46" s="434"/>
      <c r="AR46" s="434"/>
      <c r="AS46" s="434"/>
      <c r="AT46" s="434"/>
      <c r="AU46" s="434"/>
      <c r="AV46" s="434"/>
      <c r="AW46" s="434"/>
      <c r="AX46" s="434"/>
      <c r="AY46" s="434"/>
      <c r="AZ46" s="434"/>
      <c r="BA46" s="434"/>
      <c r="BB46" s="434"/>
      <c r="BC46" s="434"/>
      <c r="BD46" s="434"/>
      <c r="BE46" s="434"/>
      <c r="BF46" s="434"/>
      <c r="BG46" s="434"/>
      <c r="BH46" s="434"/>
      <c r="BI46" s="434"/>
      <c r="BJ46" s="434"/>
      <c r="BK46" s="434"/>
      <c r="BL46" s="434"/>
      <c r="BM46" s="434"/>
      <c r="BN46" s="434"/>
      <c r="BO46" s="434"/>
      <c r="BP46" s="434"/>
      <c r="BQ46" s="434"/>
      <c r="BR46" s="434"/>
      <c r="BS46" s="434"/>
      <c r="BT46" s="434"/>
      <c r="BU46" s="434"/>
      <c r="BV46" s="434"/>
      <c r="BW46" s="434"/>
      <c r="BX46" s="434"/>
      <c r="BY46" s="434"/>
      <c r="BZ46" s="434"/>
      <c r="CA46" s="434"/>
      <c r="CB46" s="434"/>
      <c r="CC46" s="434"/>
      <c r="CD46" s="434"/>
      <c r="CE46" s="434"/>
      <c r="CF46" s="434"/>
      <c r="CG46" s="434"/>
      <c r="CH46" s="434"/>
      <c r="CI46" s="434"/>
      <c r="CJ46" s="434"/>
      <c r="CK46" s="434"/>
      <c r="CL46" s="434"/>
      <c r="CM46" s="434"/>
      <c r="CN46" s="434"/>
      <c r="CO46" s="434"/>
      <c r="CP46" s="434"/>
      <c r="CQ46" s="434"/>
      <c r="CR46" s="434"/>
      <c r="CS46" s="434"/>
      <c r="CT46" s="434"/>
      <c r="CU46" s="434"/>
      <c r="CV46" s="434"/>
      <c r="CW46" s="434"/>
      <c r="CX46" s="434"/>
      <c r="CY46" s="434"/>
      <c r="CZ46" s="434"/>
      <c r="DA46" s="434"/>
      <c r="DB46" s="434"/>
      <c r="DC46" s="434"/>
      <c r="DD46" s="434"/>
      <c r="DE46" s="434"/>
      <c r="DF46" s="434"/>
      <c r="DG46" s="434"/>
      <c r="DH46" s="434"/>
      <c r="DI46" s="434"/>
      <c r="DJ46" s="434"/>
      <c r="DK46" s="434"/>
      <c r="DL46" s="434"/>
      <c r="DM46" s="434"/>
      <c r="DN46" s="434"/>
      <c r="DO46" s="434"/>
      <c r="DP46" s="434"/>
      <c r="DQ46" s="434"/>
      <c r="DR46" s="434"/>
      <c r="DS46" s="434"/>
      <c r="DT46" s="434"/>
      <c r="DU46" s="434"/>
      <c r="DV46" s="434"/>
      <c r="DW46" s="434"/>
      <c r="DX46" s="434"/>
      <c r="DY46" s="434"/>
      <c r="DZ46" s="434"/>
      <c r="EA46" s="434"/>
      <c r="EB46" s="434"/>
      <c r="EC46" s="434"/>
      <c r="ED46" s="434"/>
      <c r="EE46" s="434"/>
      <c r="EF46" s="434"/>
      <c r="EG46" s="434"/>
      <c r="EH46" s="434"/>
      <c r="EI46" s="434"/>
      <c r="EJ46" s="434"/>
      <c r="EK46" s="434"/>
      <c r="EL46" s="434"/>
      <c r="EM46" s="434"/>
      <c r="EN46" s="514" t="s">
        <v>499</v>
      </c>
      <c r="EP46" s="117"/>
      <c r="EQ46" s="117" t="str">
        <f aca="false">IF(T46="","",T46)</f>
        <v>Группа потребителей</v>
      </c>
      <c r="ER46" s="117"/>
      <c r="ES46" s="117"/>
    </row>
    <row r="47" customFormat="false" ht="23.25" hidden="false" customHeight="true" outlineLevel="0" collapsed="false">
      <c r="A47" s="415" t="s">
        <v>258</v>
      </c>
      <c r="B47" s="415" t="s">
        <v>259</v>
      </c>
      <c r="C47" s="415" t="s">
        <v>260</v>
      </c>
      <c r="D47" s="415" t="s">
        <v>556</v>
      </c>
      <c r="E47" s="416"/>
      <c r="F47" s="416"/>
      <c r="G47" s="416"/>
      <c r="H47" s="416"/>
      <c r="I47" s="431"/>
      <c r="J47" s="431"/>
      <c r="K47" s="431" t="str">
        <f aca="false">J46&amp;".1"</f>
        <v>1.1.1.1.1.1</v>
      </c>
      <c r="L47" s="417"/>
      <c r="P47" s="120"/>
      <c r="Q47" s="120"/>
      <c r="R47" s="435" t="n">
        <v>1</v>
      </c>
      <c r="S47" s="419" t="str">
        <f aca="false">$K47</f>
        <v>1.1.1.1.1.1</v>
      </c>
      <c r="T47" s="562" t="s">
        <v>558</v>
      </c>
      <c r="U47" s="421"/>
      <c r="V47" s="438"/>
      <c r="W47" s="438"/>
      <c r="X47" s="438"/>
      <c r="Y47" s="438"/>
      <c r="Z47" s="438"/>
      <c r="AA47" s="438"/>
      <c r="AB47" s="438"/>
      <c r="AC47" s="441"/>
      <c r="AD47" s="203" t="s">
        <v>63</v>
      </c>
      <c r="AE47" s="441"/>
      <c r="AF47" s="203" t="s">
        <v>63</v>
      </c>
      <c r="AG47" s="438"/>
      <c r="AH47" s="438" t="n">
        <v>31.04</v>
      </c>
      <c r="AI47" s="438"/>
      <c r="AJ47" s="438"/>
      <c r="AK47" s="438" t="n">
        <v>1761.06</v>
      </c>
      <c r="AL47" s="438"/>
      <c r="AM47" s="438"/>
      <c r="AN47" s="441" t="n">
        <v>45292.478599537</v>
      </c>
      <c r="AO47" s="203" t="s">
        <v>63</v>
      </c>
      <c r="AP47" s="441" t="n">
        <v>45473.4786574074</v>
      </c>
      <c r="AQ47" s="203" t="s">
        <v>63</v>
      </c>
      <c r="AR47" s="438"/>
      <c r="AS47" s="438" t="n">
        <v>32.84</v>
      </c>
      <c r="AT47" s="438"/>
      <c r="AU47" s="438"/>
      <c r="AV47" s="438" t="n">
        <v>1933.13</v>
      </c>
      <c r="AW47" s="438"/>
      <c r="AX47" s="438"/>
      <c r="AY47" s="441" t="n">
        <v>45474.4942013889</v>
      </c>
      <c r="AZ47" s="203" t="s">
        <v>63</v>
      </c>
      <c r="BA47" s="441" t="n">
        <v>45657.4943518519</v>
      </c>
      <c r="BB47" s="203" t="s">
        <v>63</v>
      </c>
      <c r="BC47" s="438"/>
      <c r="BD47" s="438" t="n">
        <f aca="false">AS47</f>
        <v>32.84</v>
      </c>
      <c r="BE47" s="438"/>
      <c r="BF47" s="438"/>
      <c r="BG47" s="438" t="n">
        <f aca="false">AV47</f>
        <v>1933.13</v>
      </c>
      <c r="BH47" s="438"/>
      <c r="BI47" s="438"/>
      <c r="BJ47" s="441" t="n">
        <v>45658.4946643519</v>
      </c>
      <c r="BK47" s="203" t="s">
        <v>63</v>
      </c>
      <c r="BL47" s="441" t="n">
        <v>45838.4947800926</v>
      </c>
      <c r="BM47" s="203" t="s">
        <v>63</v>
      </c>
      <c r="BN47" s="438"/>
      <c r="BO47" s="438" t="n">
        <v>33.25</v>
      </c>
      <c r="BP47" s="438"/>
      <c r="BQ47" s="438"/>
      <c r="BR47" s="438" t="n">
        <v>1966.18</v>
      </c>
      <c r="BS47" s="438"/>
      <c r="BT47" s="438"/>
      <c r="BU47" s="441" t="n">
        <v>45839.4952777778</v>
      </c>
      <c r="BV47" s="203" t="s">
        <v>63</v>
      </c>
      <c r="BW47" s="441" t="n">
        <v>46022.4954513889</v>
      </c>
      <c r="BX47" s="203" t="s">
        <v>63</v>
      </c>
      <c r="BY47" s="438"/>
      <c r="BZ47" s="438" t="n">
        <f aca="false">BO47</f>
        <v>33.25</v>
      </c>
      <c r="CA47" s="438"/>
      <c r="CB47" s="438"/>
      <c r="CC47" s="438" t="n">
        <f aca="false">BR47</f>
        <v>1966.18</v>
      </c>
      <c r="CD47" s="438"/>
      <c r="CE47" s="438"/>
      <c r="CF47" s="441" t="n">
        <v>46023.4957291667</v>
      </c>
      <c r="CG47" s="203" t="s">
        <v>63</v>
      </c>
      <c r="CH47" s="441" t="n">
        <v>46203.4958217593</v>
      </c>
      <c r="CI47" s="203" t="s">
        <v>63</v>
      </c>
      <c r="CJ47" s="438"/>
      <c r="CK47" s="438" t="n">
        <v>35.24</v>
      </c>
      <c r="CL47" s="438"/>
      <c r="CM47" s="438"/>
      <c r="CN47" s="438" t="n">
        <v>2094.6</v>
      </c>
      <c r="CO47" s="438"/>
      <c r="CP47" s="438"/>
      <c r="CQ47" s="441" t="n">
        <v>46204.4962731482</v>
      </c>
      <c r="CR47" s="203" t="s">
        <v>63</v>
      </c>
      <c r="CS47" s="441" t="n">
        <v>46387.496400463</v>
      </c>
      <c r="CT47" s="203" t="s">
        <v>63</v>
      </c>
      <c r="CU47" s="438"/>
      <c r="CV47" s="438" t="n">
        <f aca="false">CK47</f>
        <v>35.24</v>
      </c>
      <c r="CW47" s="438"/>
      <c r="CX47" s="438"/>
      <c r="CY47" s="438" t="n">
        <f aca="false">CN47</f>
        <v>2094.6</v>
      </c>
      <c r="CZ47" s="438"/>
      <c r="DA47" s="438"/>
      <c r="DB47" s="441" t="n">
        <v>46388.4967013889</v>
      </c>
      <c r="DC47" s="203" t="s">
        <v>63</v>
      </c>
      <c r="DD47" s="441" t="n">
        <v>46568.4969097222</v>
      </c>
      <c r="DE47" s="203" t="s">
        <v>63</v>
      </c>
      <c r="DF47" s="438"/>
      <c r="DG47" s="438" t="n">
        <v>35.3</v>
      </c>
      <c r="DH47" s="438"/>
      <c r="DI47" s="438"/>
      <c r="DJ47" s="438" t="n">
        <v>2094.81</v>
      </c>
      <c r="DK47" s="438"/>
      <c r="DL47" s="438"/>
      <c r="DM47" s="441" t="n">
        <v>46569.4972569444</v>
      </c>
      <c r="DN47" s="203" t="s">
        <v>63</v>
      </c>
      <c r="DO47" s="441" t="n">
        <v>46752.4973958333</v>
      </c>
      <c r="DP47" s="203" t="s">
        <v>63</v>
      </c>
      <c r="DQ47" s="438"/>
      <c r="DR47" s="438" t="n">
        <f aca="false">DG47</f>
        <v>35.3</v>
      </c>
      <c r="DS47" s="438"/>
      <c r="DT47" s="438"/>
      <c r="DU47" s="438" t="n">
        <f aca="false">DJ47</f>
        <v>2094.81</v>
      </c>
      <c r="DV47" s="438"/>
      <c r="DW47" s="438"/>
      <c r="DX47" s="441" t="n">
        <v>46753.498599537</v>
      </c>
      <c r="DY47" s="203" t="s">
        <v>63</v>
      </c>
      <c r="DZ47" s="441" t="n">
        <v>46934.4987037037</v>
      </c>
      <c r="EA47" s="203" t="s">
        <v>63</v>
      </c>
      <c r="EB47" s="438"/>
      <c r="EC47" s="438" t="n">
        <v>36.89</v>
      </c>
      <c r="ED47" s="438"/>
      <c r="EE47" s="438"/>
      <c r="EF47" s="438" t="n">
        <v>2228.1</v>
      </c>
      <c r="EG47" s="438"/>
      <c r="EH47" s="438"/>
      <c r="EI47" s="441" t="n">
        <v>46935.4990162037</v>
      </c>
      <c r="EJ47" s="203" t="s">
        <v>63</v>
      </c>
      <c r="EK47" s="441" t="n">
        <v>47118.4991898148</v>
      </c>
      <c r="EL47" s="203" t="s">
        <v>63</v>
      </c>
      <c r="EM47" s="563"/>
      <c r="EN47" s="56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47" s="47" t="e">
        <f aca="false">strcheckdate(V48:EM48)</f>
        <v>#NAME?</v>
      </c>
      <c r="EP47" s="117"/>
      <c r="EQ47" s="117" t="str">
        <f aca="false">IF(T47="","",T47)</f>
        <v>От РК-2 через сети потребителей</v>
      </c>
      <c r="ER47" s="117"/>
      <c r="ES47" s="117"/>
    </row>
    <row r="48" customFormat="false" ht="12.8" hidden="false" customHeight="false" outlineLevel="0" collapsed="false">
      <c r="A48" s="415" t="s">
        <v>258</v>
      </c>
      <c r="B48" s="415" t="s">
        <v>259</v>
      </c>
      <c r="C48" s="415" t="s">
        <v>260</v>
      </c>
      <c r="D48" s="415" t="s">
        <v>556</v>
      </c>
      <c r="E48" s="416"/>
      <c r="F48" s="416"/>
      <c r="G48" s="416"/>
      <c r="H48" s="416"/>
      <c r="I48" s="431"/>
      <c r="J48" s="431"/>
      <c r="K48" s="431"/>
      <c r="L48" s="417"/>
      <c r="P48" s="120"/>
      <c r="Q48" s="120"/>
      <c r="R48" s="435"/>
      <c r="S48" s="396"/>
      <c r="T48" s="421"/>
      <c r="U48" s="421"/>
      <c r="V48" s="439"/>
      <c r="W48" s="439"/>
      <c r="X48" s="439"/>
      <c r="Y48" s="439"/>
      <c r="Z48" s="439"/>
      <c r="AA48" s="439"/>
      <c r="AB48" s="439"/>
      <c r="AC48" s="441"/>
      <c r="AD48" s="203"/>
      <c r="AE48" s="441"/>
      <c r="AF48" s="203"/>
      <c r="AG48" s="439"/>
      <c r="AH48" s="439"/>
      <c r="AI48" s="439"/>
      <c r="AJ48" s="439"/>
      <c r="AK48" s="439"/>
      <c r="AL48" s="439"/>
      <c r="AM48" s="439"/>
      <c r="AN48" s="441"/>
      <c r="AO48" s="203"/>
      <c r="AP48" s="441"/>
      <c r="AQ48" s="203"/>
      <c r="AR48" s="439"/>
      <c r="AS48" s="439"/>
      <c r="AT48" s="439"/>
      <c r="AU48" s="439"/>
      <c r="AV48" s="439"/>
      <c r="AW48" s="439"/>
      <c r="AX48" s="439"/>
      <c r="AY48" s="441"/>
      <c r="AZ48" s="203"/>
      <c r="BA48" s="441"/>
      <c r="BB48" s="203"/>
      <c r="BC48" s="439"/>
      <c r="BD48" s="439"/>
      <c r="BE48" s="439"/>
      <c r="BF48" s="439"/>
      <c r="BG48" s="439"/>
      <c r="BH48" s="439"/>
      <c r="BI48" s="439"/>
      <c r="BJ48" s="441"/>
      <c r="BK48" s="203"/>
      <c r="BL48" s="441"/>
      <c r="BM48" s="203"/>
      <c r="BN48" s="439"/>
      <c r="BO48" s="439"/>
      <c r="BP48" s="439"/>
      <c r="BQ48" s="439"/>
      <c r="BR48" s="439"/>
      <c r="BS48" s="439"/>
      <c r="BT48" s="439"/>
      <c r="BU48" s="441"/>
      <c r="BV48" s="203"/>
      <c r="BW48" s="441"/>
      <c r="BX48" s="203"/>
      <c r="BY48" s="439"/>
      <c r="BZ48" s="439"/>
      <c r="CA48" s="439"/>
      <c r="CB48" s="439"/>
      <c r="CC48" s="439"/>
      <c r="CD48" s="439"/>
      <c r="CE48" s="439"/>
      <c r="CF48" s="441"/>
      <c r="CG48" s="203"/>
      <c r="CH48" s="441"/>
      <c r="CI48" s="203"/>
      <c r="CJ48" s="439"/>
      <c r="CK48" s="439"/>
      <c r="CL48" s="439"/>
      <c r="CM48" s="439"/>
      <c r="CN48" s="439"/>
      <c r="CO48" s="439"/>
      <c r="CP48" s="439"/>
      <c r="CQ48" s="441"/>
      <c r="CR48" s="203"/>
      <c r="CS48" s="441"/>
      <c r="CT48" s="203"/>
      <c r="CU48" s="439"/>
      <c r="CV48" s="439"/>
      <c r="CW48" s="439"/>
      <c r="CX48" s="439"/>
      <c r="CY48" s="439"/>
      <c r="CZ48" s="439"/>
      <c r="DA48" s="439"/>
      <c r="DB48" s="441"/>
      <c r="DC48" s="203"/>
      <c r="DD48" s="441"/>
      <c r="DE48" s="203"/>
      <c r="DF48" s="439"/>
      <c r="DG48" s="439"/>
      <c r="DH48" s="439"/>
      <c r="DI48" s="439"/>
      <c r="DJ48" s="439"/>
      <c r="DK48" s="439"/>
      <c r="DL48" s="439"/>
      <c r="DM48" s="441"/>
      <c r="DN48" s="203"/>
      <c r="DO48" s="441"/>
      <c r="DP48" s="203"/>
      <c r="DQ48" s="439"/>
      <c r="DR48" s="439"/>
      <c r="DS48" s="439"/>
      <c r="DT48" s="439"/>
      <c r="DU48" s="439"/>
      <c r="DV48" s="439"/>
      <c r="DW48" s="439"/>
      <c r="DX48" s="441"/>
      <c r="DY48" s="203"/>
      <c r="DZ48" s="441"/>
      <c r="EA48" s="203"/>
      <c r="EB48" s="439"/>
      <c r="EC48" s="439"/>
      <c r="ED48" s="439"/>
      <c r="EE48" s="439"/>
      <c r="EF48" s="439"/>
      <c r="EG48" s="439"/>
      <c r="EH48" s="439"/>
      <c r="EI48" s="441"/>
      <c r="EJ48" s="203"/>
      <c r="EK48" s="441"/>
      <c r="EL48" s="203"/>
      <c r="EM48" s="565"/>
      <c r="EN48" s="564"/>
      <c r="EP48" s="117"/>
      <c r="EQ48" s="117" t="str">
        <f aca="false">IF(T48="","",T48)</f>
        <v/>
      </c>
      <c r="ER48" s="117"/>
      <c r="ES48" s="117"/>
    </row>
    <row r="49" s="53" customFormat="true" ht="23.25" hidden="false" customHeight="true" outlineLevel="0" collapsed="false">
      <c r="A49" s="415"/>
      <c r="B49" s="415"/>
      <c r="C49" s="415"/>
      <c r="D49" s="415"/>
      <c r="E49" s="416"/>
      <c r="F49" s="416"/>
      <c r="G49" s="416"/>
      <c r="H49" s="416"/>
      <c r="I49" s="431"/>
      <c r="J49" s="431"/>
      <c r="K49" s="431" t="str">
        <f aca="false">J46&amp;".2"</f>
        <v>1.1.1.1.1.2</v>
      </c>
      <c r="L49" s="417"/>
      <c r="M49" s="51"/>
      <c r="N49" s="51"/>
      <c r="O49" s="51"/>
      <c r="P49" s="120"/>
      <c r="Q49" s="120"/>
      <c r="R49" s="137" t="s">
        <v>100</v>
      </c>
      <c r="S49" s="419" t="str">
        <f aca="false">$K49</f>
        <v>1.1.1.1.1.2</v>
      </c>
      <c r="T49" s="562" t="s">
        <v>559</v>
      </c>
      <c r="U49" s="421"/>
      <c r="V49" s="438"/>
      <c r="W49" s="438"/>
      <c r="X49" s="438"/>
      <c r="Y49" s="438"/>
      <c r="Z49" s="438"/>
      <c r="AA49" s="438"/>
      <c r="AB49" s="438"/>
      <c r="AC49" s="441"/>
      <c r="AD49" s="203" t="s">
        <v>63</v>
      </c>
      <c r="AE49" s="441"/>
      <c r="AF49" s="203" t="s">
        <v>63</v>
      </c>
      <c r="AG49" s="438"/>
      <c r="AH49" s="438" t="n">
        <v>31.04</v>
      </c>
      <c r="AI49" s="438"/>
      <c r="AJ49" s="438"/>
      <c r="AK49" s="438" t="n">
        <v>2101.83</v>
      </c>
      <c r="AL49" s="438"/>
      <c r="AM49" s="438"/>
      <c r="AN49" s="441" t="n">
        <v>45292.4787615741</v>
      </c>
      <c r="AO49" s="203" t="s">
        <v>63</v>
      </c>
      <c r="AP49" s="441" t="n">
        <v>45473.478900463</v>
      </c>
      <c r="AQ49" s="203" t="s">
        <v>63</v>
      </c>
      <c r="AR49" s="438"/>
      <c r="AS49" s="438" t="n">
        <v>32.84</v>
      </c>
      <c r="AT49" s="438"/>
      <c r="AU49" s="438"/>
      <c r="AV49" s="438" t="n">
        <v>2298.38</v>
      </c>
      <c r="AW49" s="438"/>
      <c r="AX49" s="438"/>
      <c r="AY49" s="441" t="n">
        <v>45474.5126157407</v>
      </c>
      <c r="AZ49" s="203" t="s">
        <v>63</v>
      </c>
      <c r="BA49" s="441" t="n">
        <v>45657.5127662037</v>
      </c>
      <c r="BB49" s="203" t="s">
        <v>63</v>
      </c>
      <c r="BC49" s="438"/>
      <c r="BD49" s="438" t="n">
        <f aca="false">AS49</f>
        <v>32.84</v>
      </c>
      <c r="BE49" s="438"/>
      <c r="BF49" s="438"/>
      <c r="BG49" s="438" t="n">
        <f aca="false">AV49</f>
        <v>2298.38</v>
      </c>
      <c r="BH49" s="438"/>
      <c r="BI49" s="438"/>
      <c r="BJ49" s="441" t="n">
        <v>45658.5128587963</v>
      </c>
      <c r="BK49" s="203" t="s">
        <v>63</v>
      </c>
      <c r="BL49" s="441" t="n">
        <v>45838.5131481482</v>
      </c>
      <c r="BM49" s="203" t="s">
        <v>63</v>
      </c>
      <c r="BN49" s="438"/>
      <c r="BO49" s="438" t="n">
        <v>33.25</v>
      </c>
      <c r="BP49" s="438"/>
      <c r="BQ49" s="438"/>
      <c r="BR49" s="438" t="n">
        <v>2352.25</v>
      </c>
      <c r="BS49" s="438"/>
      <c r="BT49" s="438"/>
      <c r="BU49" s="441" t="n">
        <v>45839.5132986111</v>
      </c>
      <c r="BV49" s="203" t="s">
        <v>63</v>
      </c>
      <c r="BW49" s="441" t="n">
        <v>46022.5134259259</v>
      </c>
      <c r="BX49" s="203" t="s">
        <v>63</v>
      </c>
      <c r="BY49" s="438"/>
      <c r="BZ49" s="438" t="n">
        <f aca="false">BO49</f>
        <v>33.25</v>
      </c>
      <c r="CA49" s="438"/>
      <c r="CB49" s="438"/>
      <c r="CC49" s="438" t="n">
        <f aca="false">BR49</f>
        <v>2352.25</v>
      </c>
      <c r="CD49" s="438"/>
      <c r="CE49" s="438"/>
      <c r="CF49" s="441" t="n">
        <v>46023.5135532407</v>
      </c>
      <c r="CG49" s="203" t="s">
        <v>63</v>
      </c>
      <c r="CH49" s="441" t="n">
        <v>46203.5136458333</v>
      </c>
      <c r="CI49" s="203" t="s">
        <v>63</v>
      </c>
      <c r="CJ49" s="438"/>
      <c r="CK49" s="438" t="n">
        <v>35.24</v>
      </c>
      <c r="CL49" s="438"/>
      <c r="CM49" s="438"/>
      <c r="CN49" s="438" t="n">
        <v>2496.11</v>
      </c>
      <c r="CO49" s="438"/>
      <c r="CP49" s="438"/>
      <c r="CQ49" s="441" t="n">
        <v>46204.5138541667</v>
      </c>
      <c r="CR49" s="203" t="s">
        <v>63</v>
      </c>
      <c r="CS49" s="441" t="n">
        <v>46387.5139467593</v>
      </c>
      <c r="CT49" s="203" t="s">
        <v>63</v>
      </c>
      <c r="CU49" s="438"/>
      <c r="CV49" s="438" t="n">
        <f aca="false">CK49</f>
        <v>35.24</v>
      </c>
      <c r="CW49" s="438"/>
      <c r="CX49" s="438"/>
      <c r="CY49" s="438" t="n">
        <f aca="false">CV49</f>
        <v>35.24</v>
      </c>
      <c r="CZ49" s="438"/>
      <c r="DA49" s="438"/>
      <c r="DB49" s="441" t="n">
        <v>46388.5140740741</v>
      </c>
      <c r="DC49" s="203" t="s">
        <v>63</v>
      </c>
      <c r="DD49" s="441" t="n">
        <v>46568.5142013889</v>
      </c>
      <c r="DE49" s="203" t="s">
        <v>63</v>
      </c>
      <c r="DF49" s="438"/>
      <c r="DG49" s="438" t="n">
        <v>35.3</v>
      </c>
      <c r="DH49" s="438"/>
      <c r="DI49" s="438"/>
      <c r="DJ49" s="438" t="n">
        <v>2512.38</v>
      </c>
      <c r="DK49" s="438"/>
      <c r="DL49" s="438"/>
      <c r="DM49" s="441" t="n">
        <v>46569.5144560185</v>
      </c>
      <c r="DN49" s="203" t="s">
        <v>63</v>
      </c>
      <c r="DO49" s="441" t="n">
        <v>46752.5146180556</v>
      </c>
      <c r="DP49" s="203" t="s">
        <v>63</v>
      </c>
      <c r="DQ49" s="438"/>
      <c r="DR49" s="438" t="n">
        <f aca="false">DG49</f>
        <v>35.3</v>
      </c>
      <c r="DS49" s="438"/>
      <c r="DT49" s="438"/>
      <c r="DU49" s="438" t="n">
        <f aca="false">DJ49</f>
        <v>2512.38</v>
      </c>
      <c r="DV49" s="438"/>
      <c r="DW49" s="438"/>
      <c r="DX49" s="441" t="n">
        <v>46753.5147222222</v>
      </c>
      <c r="DY49" s="203" t="s">
        <v>63</v>
      </c>
      <c r="DZ49" s="441" t="n">
        <v>46934.5148032407</v>
      </c>
      <c r="EA49" s="203" t="s">
        <v>63</v>
      </c>
      <c r="EB49" s="438"/>
      <c r="EC49" s="438" t="n">
        <v>36.89</v>
      </c>
      <c r="ED49" s="438"/>
      <c r="EE49" s="438"/>
      <c r="EF49" s="438" t="n">
        <v>2662.37</v>
      </c>
      <c r="EG49" s="438"/>
      <c r="EH49" s="438"/>
      <c r="EI49" s="441" t="n">
        <v>46935.5149537037</v>
      </c>
      <c r="EJ49" s="203" t="s">
        <v>63</v>
      </c>
      <c r="EK49" s="441" t="n">
        <v>47118.5151967593</v>
      </c>
      <c r="EL49" s="203" t="s">
        <v>63</v>
      </c>
      <c r="EM49" s="563"/>
      <c r="EN49" s="56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49" s="47" t="e">
        <f aca="false">strcheckdate(V50:EM50)</f>
        <v>#NAME?</v>
      </c>
      <c r="EP49" s="117"/>
      <c r="EQ49" s="117" t="str">
        <f aca="false">IF(T49="","",T49)</f>
        <v>От РК-2 через сети АО "ЯЭС"</v>
      </c>
      <c r="ER49" s="117"/>
      <c r="ES49" s="117"/>
    </row>
    <row r="50" s="53" customFormat="true" ht="14.25" hidden="false" customHeight="true" outlineLevel="0" collapsed="false">
      <c r="A50" s="415"/>
      <c r="B50" s="415"/>
      <c r="C50" s="415"/>
      <c r="D50" s="415"/>
      <c r="E50" s="416"/>
      <c r="F50" s="416"/>
      <c r="G50" s="416"/>
      <c r="H50" s="416"/>
      <c r="I50" s="431"/>
      <c r="J50" s="431"/>
      <c r="K50" s="431" t="str">
        <f aca="false">J46&amp;".1"</f>
        <v>1.1.1.1.1.1</v>
      </c>
      <c r="L50" s="417"/>
      <c r="M50" s="51"/>
      <c r="N50" s="51"/>
      <c r="O50" s="51"/>
      <c r="P50" s="120"/>
      <c r="Q50" s="120"/>
      <c r="R50" s="435"/>
      <c r="S50" s="396"/>
      <c r="T50" s="421"/>
      <c r="U50" s="421"/>
      <c r="V50" s="439"/>
      <c r="W50" s="439"/>
      <c r="X50" s="439"/>
      <c r="Y50" s="439"/>
      <c r="Z50" s="439"/>
      <c r="AA50" s="439"/>
      <c r="AB50" s="439"/>
      <c r="AC50" s="441"/>
      <c r="AD50" s="203"/>
      <c r="AE50" s="441"/>
      <c r="AF50" s="203"/>
      <c r="AG50" s="439"/>
      <c r="AH50" s="439"/>
      <c r="AI50" s="439"/>
      <c r="AJ50" s="439"/>
      <c r="AK50" s="439"/>
      <c r="AL50" s="439"/>
      <c r="AM50" s="439"/>
      <c r="AN50" s="441"/>
      <c r="AO50" s="203"/>
      <c r="AP50" s="441"/>
      <c r="AQ50" s="203"/>
      <c r="AR50" s="439"/>
      <c r="AS50" s="439"/>
      <c r="AT50" s="439"/>
      <c r="AU50" s="439"/>
      <c r="AV50" s="439"/>
      <c r="AW50" s="439"/>
      <c r="AX50" s="439"/>
      <c r="AY50" s="441"/>
      <c r="AZ50" s="203"/>
      <c r="BA50" s="441"/>
      <c r="BB50" s="203"/>
      <c r="BC50" s="439"/>
      <c r="BD50" s="439"/>
      <c r="BE50" s="439"/>
      <c r="BF50" s="439"/>
      <c r="BG50" s="439"/>
      <c r="BH50" s="439"/>
      <c r="BI50" s="439"/>
      <c r="BJ50" s="441"/>
      <c r="BK50" s="203"/>
      <c r="BL50" s="441"/>
      <c r="BM50" s="203"/>
      <c r="BN50" s="439"/>
      <c r="BO50" s="439"/>
      <c r="BP50" s="439"/>
      <c r="BQ50" s="439"/>
      <c r="BR50" s="439"/>
      <c r="BS50" s="439"/>
      <c r="BT50" s="439"/>
      <c r="BU50" s="441"/>
      <c r="BV50" s="203"/>
      <c r="BW50" s="441"/>
      <c r="BX50" s="203"/>
      <c r="BY50" s="439"/>
      <c r="BZ50" s="439"/>
      <c r="CA50" s="439"/>
      <c r="CB50" s="439"/>
      <c r="CC50" s="439"/>
      <c r="CD50" s="439"/>
      <c r="CE50" s="439"/>
      <c r="CF50" s="441"/>
      <c r="CG50" s="203"/>
      <c r="CH50" s="441"/>
      <c r="CI50" s="203"/>
      <c r="CJ50" s="439"/>
      <c r="CK50" s="439"/>
      <c r="CL50" s="439"/>
      <c r="CM50" s="439"/>
      <c r="CN50" s="439"/>
      <c r="CO50" s="439"/>
      <c r="CP50" s="439"/>
      <c r="CQ50" s="441"/>
      <c r="CR50" s="203"/>
      <c r="CS50" s="441"/>
      <c r="CT50" s="203"/>
      <c r="CU50" s="439"/>
      <c r="CV50" s="439"/>
      <c r="CW50" s="439"/>
      <c r="CX50" s="439"/>
      <c r="CY50" s="439"/>
      <c r="CZ50" s="439"/>
      <c r="DA50" s="439"/>
      <c r="DB50" s="441"/>
      <c r="DC50" s="203"/>
      <c r="DD50" s="441"/>
      <c r="DE50" s="203"/>
      <c r="DF50" s="439"/>
      <c r="DG50" s="439"/>
      <c r="DH50" s="439"/>
      <c r="DI50" s="439"/>
      <c r="DJ50" s="439"/>
      <c r="DK50" s="439"/>
      <c r="DL50" s="439"/>
      <c r="DM50" s="441"/>
      <c r="DN50" s="203"/>
      <c r="DO50" s="441"/>
      <c r="DP50" s="203"/>
      <c r="DQ50" s="439"/>
      <c r="DR50" s="439"/>
      <c r="DS50" s="439"/>
      <c r="DT50" s="439"/>
      <c r="DU50" s="439"/>
      <c r="DV50" s="439"/>
      <c r="DW50" s="439"/>
      <c r="DX50" s="441"/>
      <c r="DY50" s="203"/>
      <c r="DZ50" s="441"/>
      <c r="EA50" s="203"/>
      <c r="EB50" s="439"/>
      <c r="EC50" s="439"/>
      <c r="ED50" s="439"/>
      <c r="EE50" s="439"/>
      <c r="EF50" s="439"/>
      <c r="EG50" s="439"/>
      <c r="EH50" s="439"/>
      <c r="EI50" s="441"/>
      <c r="EJ50" s="203"/>
      <c r="EK50" s="441"/>
      <c r="EL50" s="203"/>
      <c r="EM50" s="565"/>
      <c r="EN50" s="564"/>
      <c r="EO50" s="47"/>
      <c r="EP50" s="117"/>
      <c r="EQ50" s="117" t="str">
        <f aca="false">IF(T50="","",T50)</f>
        <v/>
      </c>
      <c r="ER50" s="117"/>
      <c r="ES50" s="117"/>
    </row>
    <row r="51" s="53" customFormat="true" ht="23.25" hidden="false" customHeight="true" outlineLevel="0" collapsed="false">
      <c r="A51" s="415"/>
      <c r="B51" s="415"/>
      <c r="C51" s="415"/>
      <c r="D51" s="415"/>
      <c r="E51" s="416"/>
      <c r="F51" s="416"/>
      <c r="G51" s="416"/>
      <c r="H51" s="416"/>
      <c r="I51" s="431"/>
      <c r="J51" s="431"/>
      <c r="K51" s="431" t="str">
        <f aca="false">J46&amp;".3"</f>
        <v>1.1.1.1.1.3</v>
      </c>
      <c r="L51" s="417"/>
      <c r="M51" s="51"/>
      <c r="N51" s="51"/>
      <c r="O51" s="51"/>
      <c r="P51" s="120"/>
      <c r="Q51" s="120"/>
      <c r="R51" s="137" t="s">
        <v>100</v>
      </c>
      <c r="S51" s="419" t="str">
        <f aca="false">$K51</f>
        <v>1.1.1.1.1.3</v>
      </c>
      <c r="T51" s="562" t="s">
        <v>560</v>
      </c>
      <c r="U51" s="421"/>
      <c r="V51" s="438"/>
      <c r="W51" s="438"/>
      <c r="X51" s="438"/>
      <c r="Y51" s="438"/>
      <c r="Z51" s="438"/>
      <c r="AA51" s="438"/>
      <c r="AB51" s="438"/>
      <c r="AC51" s="441"/>
      <c r="AD51" s="203" t="s">
        <v>63</v>
      </c>
      <c r="AE51" s="441"/>
      <c r="AF51" s="203" t="s">
        <v>63</v>
      </c>
      <c r="AG51" s="438"/>
      <c r="AH51" s="438" t="n">
        <v>31.04</v>
      </c>
      <c r="AI51" s="438"/>
      <c r="AJ51" s="438"/>
      <c r="AK51" s="438" t="n">
        <v>2249.79</v>
      </c>
      <c r="AL51" s="438"/>
      <c r="AM51" s="438"/>
      <c r="AN51" s="441" t="n">
        <v>45292.4926041667</v>
      </c>
      <c r="AO51" s="203" t="s">
        <v>63</v>
      </c>
      <c r="AP51" s="441" t="n">
        <v>45473.4926736111</v>
      </c>
      <c r="AQ51" s="203" t="s">
        <v>63</v>
      </c>
      <c r="AR51" s="438"/>
      <c r="AS51" s="438" t="n">
        <v>32.84</v>
      </c>
      <c r="AT51" s="438"/>
      <c r="AU51" s="438"/>
      <c r="AV51" s="438" t="n">
        <v>2462.12</v>
      </c>
      <c r="AW51" s="438"/>
      <c r="AX51" s="438"/>
      <c r="AY51" s="441" t="n">
        <v>45474.5156481481</v>
      </c>
      <c r="AZ51" s="203" t="s">
        <v>63</v>
      </c>
      <c r="BA51" s="441" t="n">
        <v>45657.5157291667</v>
      </c>
      <c r="BB51" s="203" t="s">
        <v>63</v>
      </c>
      <c r="BC51" s="438"/>
      <c r="BD51" s="438" t="n">
        <f aca="false">AS51</f>
        <v>32.84</v>
      </c>
      <c r="BE51" s="438"/>
      <c r="BF51" s="438"/>
      <c r="BG51" s="438" t="n">
        <f aca="false">AV51</f>
        <v>2462.12</v>
      </c>
      <c r="BH51" s="438"/>
      <c r="BI51" s="438"/>
      <c r="BJ51" s="441" t="n">
        <v>45658.5158680556</v>
      </c>
      <c r="BK51" s="203" t="s">
        <v>63</v>
      </c>
      <c r="BL51" s="441" t="n">
        <v>45838.5463888889</v>
      </c>
      <c r="BM51" s="203" t="s">
        <v>63</v>
      </c>
      <c r="BN51" s="438"/>
      <c r="BO51" s="438" t="n">
        <v>33.25</v>
      </c>
      <c r="BP51" s="438"/>
      <c r="BQ51" s="438"/>
      <c r="BR51" s="438" t="n">
        <v>2499.4</v>
      </c>
      <c r="BS51" s="438"/>
      <c r="BT51" s="438"/>
      <c r="BU51" s="441" t="n">
        <v>45839.5465856481</v>
      </c>
      <c r="BV51" s="203" t="s">
        <v>63</v>
      </c>
      <c r="BW51" s="441" t="n">
        <v>46022.5469097222</v>
      </c>
      <c r="BX51" s="203" t="s">
        <v>63</v>
      </c>
      <c r="BY51" s="438"/>
      <c r="BZ51" s="438" t="n">
        <f aca="false">BO51</f>
        <v>33.25</v>
      </c>
      <c r="CA51" s="438"/>
      <c r="CB51" s="438"/>
      <c r="CC51" s="438" t="n">
        <f aca="false">BR51</f>
        <v>2499.4</v>
      </c>
      <c r="CD51" s="438"/>
      <c r="CE51" s="438"/>
      <c r="CF51" s="441" t="n">
        <v>46023.5480671296</v>
      </c>
      <c r="CG51" s="203" t="s">
        <v>63</v>
      </c>
      <c r="CH51" s="441" t="n">
        <v>46203.5483796296</v>
      </c>
      <c r="CI51" s="203" t="s">
        <v>63</v>
      </c>
      <c r="CJ51" s="438"/>
      <c r="CK51" s="438" t="n">
        <v>35.24</v>
      </c>
      <c r="CL51" s="438"/>
      <c r="CM51" s="438"/>
      <c r="CN51" s="438" t="n">
        <v>2649.15</v>
      </c>
      <c r="CO51" s="438"/>
      <c r="CP51" s="438"/>
      <c r="CQ51" s="441" t="n">
        <v>46204.5489351852</v>
      </c>
      <c r="CR51" s="203" t="s">
        <v>63</v>
      </c>
      <c r="CS51" s="441" t="n">
        <v>46387.5490972222</v>
      </c>
      <c r="CT51" s="203" t="s">
        <v>63</v>
      </c>
      <c r="CU51" s="438"/>
      <c r="CV51" s="438" t="n">
        <f aca="false">CK51</f>
        <v>35.24</v>
      </c>
      <c r="CW51" s="438"/>
      <c r="CX51" s="438"/>
      <c r="CY51" s="438" t="n">
        <f aca="false">CN51</f>
        <v>2649.15</v>
      </c>
      <c r="CZ51" s="438"/>
      <c r="DA51" s="438"/>
      <c r="DB51" s="441" t="n">
        <v>46388.5492708333</v>
      </c>
      <c r="DC51" s="203" t="s">
        <v>63</v>
      </c>
      <c r="DD51" s="441" t="n">
        <v>46568.549375</v>
      </c>
      <c r="DE51" s="203" t="s">
        <v>63</v>
      </c>
      <c r="DF51" s="438"/>
      <c r="DG51" s="438" t="n">
        <v>35.3</v>
      </c>
      <c r="DH51" s="438"/>
      <c r="DI51" s="438"/>
      <c r="DJ51" s="438" t="n">
        <v>2671.54</v>
      </c>
      <c r="DK51" s="438"/>
      <c r="DL51" s="438"/>
      <c r="DM51" s="441" t="n">
        <v>46569.549525463</v>
      </c>
      <c r="DN51" s="203" t="s">
        <v>63</v>
      </c>
      <c r="DO51" s="441" t="n">
        <v>46752.5496412037</v>
      </c>
      <c r="DP51" s="203" t="s">
        <v>63</v>
      </c>
      <c r="DQ51" s="438"/>
      <c r="DR51" s="438" t="n">
        <f aca="false">DG51</f>
        <v>35.3</v>
      </c>
      <c r="DS51" s="438"/>
      <c r="DT51" s="438"/>
      <c r="DU51" s="438" t="n">
        <f aca="false">DJ51</f>
        <v>2671.54</v>
      </c>
      <c r="DV51" s="438"/>
      <c r="DW51" s="438"/>
      <c r="DX51" s="441" t="n">
        <v>46753.5498263889</v>
      </c>
      <c r="DY51" s="203" t="s">
        <v>63</v>
      </c>
      <c r="DZ51" s="441" t="n">
        <v>46934.5500347222</v>
      </c>
      <c r="EA51" s="203" t="s">
        <v>63</v>
      </c>
      <c r="EB51" s="438"/>
      <c r="EC51" s="438" t="n">
        <v>36.89</v>
      </c>
      <c r="ED51" s="438"/>
      <c r="EE51" s="438"/>
      <c r="EF51" s="438" t="n">
        <v>2827.9</v>
      </c>
      <c r="EG51" s="438"/>
      <c r="EH51" s="438"/>
      <c r="EI51" s="441" t="n">
        <v>46935.5502083333</v>
      </c>
      <c r="EJ51" s="203" t="s">
        <v>63</v>
      </c>
      <c r="EK51" s="441" t="n">
        <v>47118.5503472222</v>
      </c>
      <c r="EL51" s="203" t="s">
        <v>63</v>
      </c>
      <c r="EM51" s="563"/>
      <c r="EN51" s="56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51" s="47" t="e">
        <f aca="false">strcheckdate(V52:EM52)</f>
        <v>#NAME?</v>
      </c>
      <c r="EP51" s="117"/>
      <c r="EQ51" s="117" t="str">
        <f aca="false">IF(T51="","",T51)</f>
        <v>От РК-2 через сети ФГБУ ЦЖКУ</v>
      </c>
      <c r="ER51" s="117"/>
      <c r="ES51" s="117"/>
    </row>
    <row r="52" s="53" customFormat="true" ht="14.25" hidden="false" customHeight="true" outlineLevel="0" collapsed="false">
      <c r="A52" s="415"/>
      <c r="B52" s="415"/>
      <c r="C52" s="415"/>
      <c r="D52" s="415"/>
      <c r="E52" s="416"/>
      <c r="F52" s="416"/>
      <c r="G52" s="416"/>
      <c r="H52" s="416"/>
      <c r="I52" s="431"/>
      <c r="J52" s="431"/>
      <c r="K52" s="431" t="str">
        <f aca="false">J46&amp;".2"</f>
        <v>1.1.1.1.1.2</v>
      </c>
      <c r="L52" s="417"/>
      <c r="M52" s="51"/>
      <c r="N52" s="51"/>
      <c r="O52" s="51"/>
      <c r="P52" s="120"/>
      <c r="Q52" s="120"/>
      <c r="R52" s="435"/>
      <c r="S52" s="396"/>
      <c r="T52" s="421"/>
      <c r="U52" s="421"/>
      <c r="V52" s="439"/>
      <c r="W52" s="439"/>
      <c r="X52" s="439"/>
      <c r="Y52" s="439"/>
      <c r="Z52" s="439"/>
      <c r="AA52" s="439"/>
      <c r="AB52" s="439"/>
      <c r="AC52" s="441"/>
      <c r="AD52" s="203"/>
      <c r="AE52" s="441"/>
      <c r="AF52" s="203"/>
      <c r="AG52" s="439"/>
      <c r="AH52" s="439"/>
      <c r="AI52" s="439"/>
      <c r="AJ52" s="439"/>
      <c r="AK52" s="439"/>
      <c r="AL52" s="439"/>
      <c r="AM52" s="439"/>
      <c r="AN52" s="441"/>
      <c r="AO52" s="203"/>
      <c r="AP52" s="441"/>
      <c r="AQ52" s="203"/>
      <c r="AR52" s="439"/>
      <c r="AS52" s="439"/>
      <c r="AT52" s="439"/>
      <c r="AU52" s="439"/>
      <c r="AV52" s="439"/>
      <c r="AW52" s="439"/>
      <c r="AX52" s="439"/>
      <c r="AY52" s="441"/>
      <c r="AZ52" s="203"/>
      <c r="BA52" s="441"/>
      <c r="BB52" s="203"/>
      <c r="BC52" s="439"/>
      <c r="BD52" s="439"/>
      <c r="BE52" s="439"/>
      <c r="BF52" s="439"/>
      <c r="BG52" s="439"/>
      <c r="BH52" s="439"/>
      <c r="BI52" s="439"/>
      <c r="BJ52" s="441"/>
      <c r="BK52" s="203"/>
      <c r="BL52" s="441"/>
      <c r="BM52" s="203"/>
      <c r="BN52" s="439"/>
      <c r="BO52" s="439"/>
      <c r="BP52" s="439"/>
      <c r="BQ52" s="439"/>
      <c r="BR52" s="439"/>
      <c r="BS52" s="439"/>
      <c r="BT52" s="439"/>
      <c r="BU52" s="441"/>
      <c r="BV52" s="203"/>
      <c r="BW52" s="441"/>
      <c r="BX52" s="203"/>
      <c r="BY52" s="439"/>
      <c r="BZ52" s="439"/>
      <c r="CA52" s="439"/>
      <c r="CB52" s="439"/>
      <c r="CC52" s="439"/>
      <c r="CD52" s="439"/>
      <c r="CE52" s="439"/>
      <c r="CF52" s="441"/>
      <c r="CG52" s="203"/>
      <c r="CH52" s="441"/>
      <c r="CI52" s="203"/>
      <c r="CJ52" s="439"/>
      <c r="CK52" s="439"/>
      <c r="CL52" s="439"/>
      <c r="CM52" s="439"/>
      <c r="CN52" s="439"/>
      <c r="CO52" s="439"/>
      <c r="CP52" s="439"/>
      <c r="CQ52" s="441"/>
      <c r="CR52" s="203"/>
      <c r="CS52" s="441"/>
      <c r="CT52" s="203"/>
      <c r="CU52" s="439"/>
      <c r="CV52" s="439"/>
      <c r="CW52" s="439"/>
      <c r="CX52" s="439"/>
      <c r="CY52" s="439"/>
      <c r="CZ52" s="439"/>
      <c r="DA52" s="439"/>
      <c r="DB52" s="441"/>
      <c r="DC52" s="203"/>
      <c r="DD52" s="441"/>
      <c r="DE52" s="203"/>
      <c r="DF52" s="439"/>
      <c r="DG52" s="439"/>
      <c r="DH52" s="439"/>
      <c r="DI52" s="439"/>
      <c r="DJ52" s="439"/>
      <c r="DK52" s="439"/>
      <c r="DL52" s="439"/>
      <c r="DM52" s="441"/>
      <c r="DN52" s="203"/>
      <c r="DO52" s="441"/>
      <c r="DP52" s="203"/>
      <c r="DQ52" s="439"/>
      <c r="DR52" s="439"/>
      <c r="DS52" s="439"/>
      <c r="DT52" s="439"/>
      <c r="DU52" s="439"/>
      <c r="DV52" s="439"/>
      <c r="DW52" s="439"/>
      <c r="DX52" s="441"/>
      <c r="DY52" s="203"/>
      <c r="DZ52" s="441"/>
      <c r="EA52" s="203"/>
      <c r="EB52" s="439"/>
      <c r="EC52" s="439"/>
      <c r="ED52" s="439"/>
      <c r="EE52" s="439"/>
      <c r="EF52" s="439"/>
      <c r="EG52" s="439"/>
      <c r="EH52" s="439"/>
      <c r="EI52" s="441"/>
      <c r="EJ52" s="203"/>
      <c r="EK52" s="441"/>
      <c r="EL52" s="203"/>
      <c r="EM52" s="565"/>
      <c r="EN52" s="564"/>
      <c r="EO52" s="47"/>
      <c r="EP52" s="117"/>
      <c r="EQ52" s="117" t="str">
        <f aca="false">IF(T52="","",T52)</f>
        <v/>
      </c>
      <c r="ER52" s="117"/>
      <c r="ES52" s="117"/>
    </row>
    <row r="53" customFormat="false" ht="21" hidden="false" customHeight="true" outlineLevel="0" collapsed="false">
      <c r="A53" s="415" t="s">
        <v>258</v>
      </c>
      <c r="B53" s="415" t="s">
        <v>259</v>
      </c>
      <c r="C53" s="415" t="s">
        <v>260</v>
      </c>
      <c r="D53" s="415" t="s">
        <v>556</v>
      </c>
      <c r="E53" s="416"/>
      <c r="F53" s="416"/>
      <c r="G53" s="416"/>
      <c r="H53" s="416"/>
      <c r="I53" s="431"/>
      <c r="J53" s="431"/>
      <c r="K53" s="415"/>
      <c r="L53" s="417"/>
      <c r="P53" s="120"/>
      <c r="Q53" s="120"/>
      <c r="R53" s="432"/>
      <c r="S53" s="444"/>
      <c r="T53" s="447" t="s">
        <v>500</v>
      </c>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3"/>
      <c r="BR53" s="193"/>
      <c r="BS53" s="193"/>
      <c r="BT53" s="193"/>
      <c r="BU53" s="193"/>
      <c r="BV53" s="193"/>
      <c r="BW53" s="193"/>
      <c r="BX53" s="193"/>
      <c r="BY53" s="193"/>
      <c r="BZ53" s="193"/>
      <c r="CA53" s="193"/>
      <c r="CB53" s="193"/>
      <c r="CC53" s="193"/>
      <c r="CD53" s="193"/>
      <c r="CE53" s="193"/>
      <c r="CF53" s="193"/>
      <c r="CG53" s="193"/>
      <c r="CH53" s="193"/>
      <c r="CI53" s="193"/>
      <c r="CJ53" s="193"/>
      <c r="CK53" s="193"/>
      <c r="CL53" s="193"/>
      <c r="CM53" s="193"/>
      <c r="CN53" s="193"/>
      <c r="CO53" s="193"/>
      <c r="CP53" s="193"/>
      <c r="CQ53" s="193"/>
      <c r="CR53" s="193"/>
      <c r="CS53" s="193"/>
      <c r="CT53" s="193"/>
      <c r="CU53" s="193"/>
      <c r="CV53" s="193"/>
      <c r="CW53" s="193"/>
      <c r="CX53" s="193"/>
      <c r="CY53" s="193"/>
      <c r="CZ53" s="193"/>
      <c r="DA53" s="193"/>
      <c r="DB53" s="193"/>
      <c r="DC53" s="193"/>
      <c r="DD53" s="193"/>
      <c r="DE53" s="193"/>
      <c r="DF53" s="193"/>
      <c r="DG53" s="193"/>
      <c r="DH53" s="193"/>
      <c r="DI53" s="193"/>
      <c r="DJ53" s="193"/>
      <c r="DK53" s="193"/>
      <c r="DL53" s="193"/>
      <c r="DM53" s="193"/>
      <c r="DN53" s="193"/>
      <c r="DO53" s="193"/>
      <c r="DP53" s="193"/>
      <c r="DQ53" s="193"/>
      <c r="DR53" s="193"/>
      <c r="DS53" s="193"/>
      <c r="DT53" s="193"/>
      <c r="DU53" s="193"/>
      <c r="DV53" s="193"/>
      <c r="DW53" s="193"/>
      <c r="DX53" s="193"/>
      <c r="DY53" s="193"/>
      <c r="DZ53" s="193"/>
      <c r="EA53" s="193"/>
      <c r="EB53" s="193"/>
      <c r="EC53" s="193"/>
      <c r="ED53" s="193"/>
      <c r="EE53" s="193"/>
      <c r="EF53" s="193"/>
      <c r="EG53" s="193"/>
      <c r="EH53" s="193"/>
      <c r="EI53" s="193"/>
      <c r="EJ53" s="193"/>
      <c r="EK53" s="193"/>
      <c r="EL53" s="193"/>
      <c r="EM53" s="193"/>
      <c r="EN53" s="424" t="s">
        <v>501</v>
      </c>
      <c r="EP53" s="117"/>
      <c r="EQ53" s="117" t="str">
        <f aca="false">IF(T53="","",T53)</f>
        <v>Добавить значение признака дифференциации</v>
      </c>
      <c r="ER53" s="117"/>
      <c r="ES53" s="117"/>
    </row>
    <row r="54" s="53" customFormat="true" ht="23.25" hidden="false" customHeight="true" outlineLevel="0" collapsed="false">
      <c r="A54" s="415"/>
      <c r="B54" s="415"/>
      <c r="C54" s="415"/>
      <c r="D54" s="415"/>
      <c r="E54" s="416"/>
      <c r="F54" s="416"/>
      <c r="G54" s="416"/>
      <c r="H54" s="416"/>
      <c r="I54" s="431"/>
      <c r="J54" s="431" t="str">
        <f aca="false">I45&amp;".2"</f>
        <v>1.1.1.1.2</v>
      </c>
      <c r="K54" s="415"/>
      <c r="L54" s="417" t="s">
        <v>422</v>
      </c>
      <c r="M54" s="51"/>
      <c r="N54" s="51"/>
      <c r="O54" s="51"/>
      <c r="P54" s="120"/>
      <c r="Q54" s="137" t="s">
        <v>100</v>
      </c>
      <c r="R54" s="435"/>
      <c r="S54" s="419" t="str">
        <f aca="false">$J54</f>
        <v>1.1.1.1.2</v>
      </c>
      <c r="T54" s="436" t="s">
        <v>423</v>
      </c>
      <c r="U54" s="421"/>
      <c r="V54" s="434"/>
      <c r="W54" s="434"/>
      <c r="X54" s="434"/>
      <c r="Y54" s="434"/>
      <c r="Z54" s="434"/>
      <c r="AA54" s="434"/>
      <c r="AB54" s="434"/>
      <c r="AC54" s="434"/>
      <c r="AD54" s="434"/>
      <c r="AE54" s="434"/>
      <c r="AF54" s="434"/>
      <c r="AG54" s="434" t="s">
        <v>561</v>
      </c>
      <c r="AH54" s="434"/>
      <c r="AI54" s="434"/>
      <c r="AJ54" s="434"/>
      <c r="AK54" s="434"/>
      <c r="AL54" s="434"/>
      <c r="AM54" s="434"/>
      <c r="AN54" s="434"/>
      <c r="AO54" s="434"/>
      <c r="AP54" s="434"/>
      <c r="AQ54" s="434"/>
      <c r="AR54" s="434"/>
      <c r="AS54" s="434"/>
      <c r="AT54" s="434"/>
      <c r="AU54" s="434"/>
      <c r="AV54" s="434"/>
      <c r="AW54" s="434"/>
      <c r="AX54" s="434"/>
      <c r="AY54" s="434"/>
      <c r="AZ54" s="434"/>
      <c r="BA54" s="434"/>
      <c r="BB54" s="434"/>
      <c r="BC54" s="434"/>
      <c r="BD54" s="434"/>
      <c r="BE54" s="434"/>
      <c r="BF54" s="434"/>
      <c r="BG54" s="434"/>
      <c r="BH54" s="434"/>
      <c r="BI54" s="434"/>
      <c r="BJ54" s="434"/>
      <c r="BK54" s="434"/>
      <c r="BL54" s="434"/>
      <c r="BM54" s="434"/>
      <c r="BN54" s="434"/>
      <c r="BO54" s="434"/>
      <c r="BP54" s="434"/>
      <c r="BQ54" s="434"/>
      <c r="BR54" s="434"/>
      <c r="BS54" s="434"/>
      <c r="BT54" s="434"/>
      <c r="BU54" s="434"/>
      <c r="BV54" s="434"/>
      <c r="BW54" s="434"/>
      <c r="BX54" s="434"/>
      <c r="BY54" s="434"/>
      <c r="BZ54" s="434"/>
      <c r="CA54" s="434"/>
      <c r="CB54" s="434"/>
      <c r="CC54" s="434"/>
      <c r="CD54" s="434"/>
      <c r="CE54" s="434"/>
      <c r="CF54" s="434"/>
      <c r="CG54" s="434"/>
      <c r="CH54" s="434"/>
      <c r="CI54" s="434"/>
      <c r="CJ54" s="434"/>
      <c r="CK54" s="434"/>
      <c r="CL54" s="434"/>
      <c r="CM54" s="434"/>
      <c r="CN54" s="434"/>
      <c r="CO54" s="434"/>
      <c r="CP54" s="434"/>
      <c r="CQ54" s="434"/>
      <c r="CR54" s="434"/>
      <c r="CS54" s="434"/>
      <c r="CT54" s="434"/>
      <c r="CU54" s="434"/>
      <c r="CV54" s="434"/>
      <c r="CW54" s="434"/>
      <c r="CX54" s="434"/>
      <c r="CY54" s="434"/>
      <c r="CZ54" s="434"/>
      <c r="DA54" s="434"/>
      <c r="DB54" s="434"/>
      <c r="DC54" s="434"/>
      <c r="DD54" s="434"/>
      <c r="DE54" s="434"/>
      <c r="DF54" s="434"/>
      <c r="DG54" s="434"/>
      <c r="DH54" s="434"/>
      <c r="DI54" s="434"/>
      <c r="DJ54" s="434"/>
      <c r="DK54" s="434"/>
      <c r="DL54" s="434"/>
      <c r="DM54" s="434"/>
      <c r="DN54" s="434"/>
      <c r="DO54" s="434"/>
      <c r="DP54" s="434"/>
      <c r="DQ54" s="434"/>
      <c r="DR54" s="434"/>
      <c r="DS54" s="434"/>
      <c r="DT54" s="434"/>
      <c r="DU54" s="434"/>
      <c r="DV54" s="434"/>
      <c r="DW54" s="434"/>
      <c r="DX54" s="434"/>
      <c r="DY54" s="434"/>
      <c r="DZ54" s="434"/>
      <c r="EA54" s="434"/>
      <c r="EB54" s="434"/>
      <c r="EC54" s="434"/>
      <c r="ED54" s="434"/>
      <c r="EE54" s="434"/>
      <c r="EF54" s="434"/>
      <c r="EG54" s="434"/>
      <c r="EH54" s="434"/>
      <c r="EI54" s="434"/>
      <c r="EJ54" s="434"/>
      <c r="EK54" s="434"/>
      <c r="EL54" s="434"/>
      <c r="EM54" s="434"/>
      <c r="EN54" s="514" t="s">
        <v>499</v>
      </c>
      <c r="EO54" s="47"/>
      <c r="EP54" s="117"/>
      <c r="EQ54" s="117" t="str">
        <f aca="false">IF(T54="","",T54)</f>
        <v>Группа потребителей</v>
      </c>
      <c r="ER54" s="117"/>
      <c r="ES54" s="117"/>
    </row>
    <row r="55" s="53" customFormat="true" ht="23.25" hidden="false" customHeight="true" outlineLevel="0" collapsed="false">
      <c r="A55" s="415"/>
      <c r="B55" s="415"/>
      <c r="C55" s="415"/>
      <c r="D55" s="415"/>
      <c r="E55" s="416"/>
      <c r="F55" s="416"/>
      <c r="G55" s="416"/>
      <c r="H55" s="416"/>
      <c r="I55" s="431"/>
      <c r="J55" s="431" t="str">
        <f aca="false">I45&amp;".1"</f>
        <v>1.1.1.1.1</v>
      </c>
      <c r="K55" s="431" t="str">
        <f aca="false">J54&amp;".1"</f>
        <v>1.1.1.1.2.1</v>
      </c>
      <c r="L55" s="417"/>
      <c r="M55" s="51"/>
      <c r="N55" s="51"/>
      <c r="O55" s="51"/>
      <c r="P55" s="120"/>
      <c r="Q55" s="120"/>
      <c r="R55" s="435" t="n">
        <v>1</v>
      </c>
      <c r="S55" s="419" t="str">
        <f aca="false">$K55</f>
        <v>1.1.1.1.2.1</v>
      </c>
      <c r="T55" s="562" t="s">
        <v>559</v>
      </c>
      <c r="U55" s="421"/>
      <c r="V55" s="438"/>
      <c r="W55" s="438"/>
      <c r="X55" s="438"/>
      <c r="Y55" s="438"/>
      <c r="Z55" s="438"/>
      <c r="AA55" s="438"/>
      <c r="AB55" s="438"/>
      <c r="AC55" s="441"/>
      <c r="AD55" s="203" t="s">
        <v>63</v>
      </c>
      <c r="AE55" s="441"/>
      <c r="AF55" s="203" t="s">
        <v>63</v>
      </c>
      <c r="AG55" s="438"/>
      <c r="AH55" s="438" t="n">
        <v>37.25</v>
      </c>
      <c r="AI55" s="438"/>
      <c r="AJ55" s="438"/>
      <c r="AK55" s="438" t="n">
        <v>2522.2</v>
      </c>
      <c r="AL55" s="438"/>
      <c r="AM55" s="438"/>
      <c r="AN55" s="441" t="n">
        <v>45292.4928587963</v>
      </c>
      <c r="AO55" s="203" t="s">
        <v>63</v>
      </c>
      <c r="AP55" s="441" t="n">
        <v>45473.492974537</v>
      </c>
      <c r="AQ55" s="203" t="s">
        <v>63</v>
      </c>
      <c r="AR55" s="438"/>
      <c r="AS55" s="438" t="n">
        <v>39.41</v>
      </c>
      <c r="AT55" s="438"/>
      <c r="AU55" s="438"/>
      <c r="AV55" s="438" t="n">
        <v>2758.06</v>
      </c>
      <c r="AW55" s="438"/>
      <c r="AX55" s="438"/>
      <c r="AY55" s="441" t="n">
        <v>45474.5542939815</v>
      </c>
      <c r="AZ55" s="203" t="s">
        <v>63</v>
      </c>
      <c r="BA55" s="441" t="n">
        <v>45657.5544675926</v>
      </c>
      <c r="BB55" s="203" t="s">
        <v>63</v>
      </c>
      <c r="BC55" s="438"/>
      <c r="BD55" s="438" t="n">
        <f aca="false">AS55</f>
        <v>39.41</v>
      </c>
      <c r="BE55" s="438"/>
      <c r="BF55" s="438"/>
      <c r="BG55" s="438" t="n">
        <f aca="false">AV55</f>
        <v>2758.06</v>
      </c>
      <c r="BH55" s="438"/>
      <c r="BI55" s="438"/>
      <c r="BJ55" s="441" t="n">
        <v>45658.5547569444</v>
      </c>
      <c r="BK55" s="203" t="s">
        <v>63</v>
      </c>
      <c r="BL55" s="441" t="n">
        <v>45838.5549305556</v>
      </c>
      <c r="BM55" s="203" t="s">
        <v>63</v>
      </c>
      <c r="BN55" s="438"/>
      <c r="BO55" s="438" t="n">
        <v>39.9</v>
      </c>
      <c r="BP55" s="438"/>
      <c r="BQ55" s="438"/>
      <c r="BR55" s="438" t="n">
        <v>2822.7</v>
      </c>
      <c r="BS55" s="438"/>
      <c r="BT55" s="438"/>
      <c r="BU55" s="441" t="n">
        <v>45839.5553240741</v>
      </c>
      <c r="BV55" s="203" t="s">
        <v>63</v>
      </c>
      <c r="BW55" s="441" t="n">
        <v>46022.5557060185</v>
      </c>
      <c r="BX55" s="203" t="s">
        <v>63</v>
      </c>
      <c r="BY55" s="438"/>
      <c r="BZ55" s="438" t="n">
        <f aca="false">BO55</f>
        <v>39.9</v>
      </c>
      <c r="CA55" s="438"/>
      <c r="CB55" s="438"/>
      <c r="CC55" s="438" t="n">
        <f aca="false">BR55</f>
        <v>2822.7</v>
      </c>
      <c r="CD55" s="438"/>
      <c r="CE55" s="438"/>
      <c r="CF55" s="441" t="n">
        <v>46023.5566550926</v>
      </c>
      <c r="CG55" s="203" t="s">
        <v>63</v>
      </c>
      <c r="CH55" s="441" t="n">
        <v>46203.5569097222</v>
      </c>
      <c r="CI55" s="203" t="s">
        <v>63</v>
      </c>
      <c r="CJ55" s="438"/>
      <c r="CK55" s="438" t="n">
        <v>42.29</v>
      </c>
      <c r="CL55" s="438"/>
      <c r="CM55" s="438"/>
      <c r="CN55" s="438" t="n">
        <v>2995.33</v>
      </c>
      <c r="CO55" s="438"/>
      <c r="CP55" s="438"/>
      <c r="CQ55" s="441" t="n">
        <v>46204.6772569444</v>
      </c>
      <c r="CR55" s="203" t="s">
        <v>63</v>
      </c>
      <c r="CS55" s="441" t="n">
        <v>46387.6774421296</v>
      </c>
      <c r="CT55" s="203" t="s">
        <v>63</v>
      </c>
      <c r="CU55" s="438"/>
      <c r="CV55" s="438" t="n">
        <f aca="false">CK55</f>
        <v>42.29</v>
      </c>
      <c r="CW55" s="438"/>
      <c r="CX55" s="438"/>
      <c r="CY55" s="438" t="n">
        <f aca="false">CN55</f>
        <v>2995.33</v>
      </c>
      <c r="CZ55" s="438"/>
      <c r="DA55" s="438"/>
      <c r="DB55" s="441" t="n">
        <v>46388.6775925926</v>
      </c>
      <c r="DC55" s="203" t="s">
        <v>63</v>
      </c>
      <c r="DD55" s="441" t="n">
        <v>46568.6777893519</v>
      </c>
      <c r="DE55" s="203" t="s">
        <v>63</v>
      </c>
      <c r="DF55" s="438"/>
      <c r="DG55" s="438" t="n">
        <v>42.36</v>
      </c>
      <c r="DH55" s="438"/>
      <c r="DI55" s="438"/>
      <c r="DJ55" s="438" t="n">
        <v>3014.86</v>
      </c>
      <c r="DK55" s="438"/>
      <c r="DL55" s="438"/>
      <c r="DM55" s="441" t="n">
        <v>46569.6779050926</v>
      </c>
      <c r="DN55" s="203" t="s">
        <v>63</v>
      </c>
      <c r="DO55" s="441" t="n">
        <v>46752.6780671296</v>
      </c>
      <c r="DP55" s="203" t="s">
        <v>63</v>
      </c>
      <c r="DQ55" s="438"/>
      <c r="DR55" s="438" t="n">
        <f aca="false">DG55</f>
        <v>42.36</v>
      </c>
      <c r="DS55" s="438"/>
      <c r="DT55" s="438"/>
      <c r="DU55" s="438" t="n">
        <f aca="false">DJ55</f>
        <v>3014.86</v>
      </c>
      <c r="DV55" s="438"/>
      <c r="DW55" s="438"/>
      <c r="DX55" s="441" t="n">
        <v>46753.6785416667</v>
      </c>
      <c r="DY55" s="203" t="s">
        <v>63</v>
      </c>
      <c r="DZ55" s="441" t="n">
        <v>46934.6786342593</v>
      </c>
      <c r="EA55" s="203" t="s">
        <v>63</v>
      </c>
      <c r="EB55" s="438"/>
      <c r="EC55" s="438" t="n">
        <v>44.27</v>
      </c>
      <c r="ED55" s="438"/>
      <c r="EE55" s="438"/>
      <c r="EF55" s="438" t="n">
        <v>3194.84</v>
      </c>
      <c r="EG55" s="438"/>
      <c r="EH55" s="438"/>
      <c r="EI55" s="441" t="n">
        <v>46935.6788773148</v>
      </c>
      <c r="EJ55" s="203" t="s">
        <v>63</v>
      </c>
      <c r="EK55" s="441" t="n">
        <v>47118.6790509259</v>
      </c>
      <c r="EL55" s="203" t="s">
        <v>63</v>
      </c>
      <c r="EM55" s="563"/>
      <c r="EN55" s="56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55" s="47" t="e">
        <f aca="false">strcheckdate(V56:EM56)</f>
        <v>#NAME?</v>
      </c>
      <c r="EP55" s="117"/>
      <c r="EQ55" s="117" t="str">
        <f aca="false">IF(T55="","",T55)</f>
        <v>От РК-2 через сети АО "ЯЭС"</v>
      </c>
      <c r="ER55" s="117"/>
      <c r="ES55" s="117"/>
    </row>
    <row r="56" s="53" customFormat="true" ht="14.25" hidden="false" customHeight="true" outlineLevel="0" collapsed="false">
      <c r="A56" s="415"/>
      <c r="B56" s="415"/>
      <c r="C56" s="415"/>
      <c r="D56" s="415"/>
      <c r="E56" s="416"/>
      <c r="F56" s="416"/>
      <c r="G56" s="416"/>
      <c r="H56" s="416"/>
      <c r="I56" s="431"/>
      <c r="J56" s="431" t="str">
        <f aca="false">I45&amp;".1"</f>
        <v>1.1.1.1.1</v>
      </c>
      <c r="K56" s="431"/>
      <c r="L56" s="417"/>
      <c r="M56" s="51"/>
      <c r="N56" s="51"/>
      <c r="O56" s="51"/>
      <c r="P56" s="120"/>
      <c r="Q56" s="120"/>
      <c r="R56" s="435"/>
      <c r="S56" s="396"/>
      <c r="T56" s="421"/>
      <c r="U56" s="421"/>
      <c r="V56" s="439"/>
      <c r="W56" s="439"/>
      <c r="X56" s="439"/>
      <c r="Y56" s="439"/>
      <c r="Z56" s="439"/>
      <c r="AA56" s="439"/>
      <c r="AB56" s="439"/>
      <c r="AC56" s="441"/>
      <c r="AD56" s="203"/>
      <c r="AE56" s="441"/>
      <c r="AF56" s="203"/>
      <c r="AG56" s="439"/>
      <c r="AH56" s="439"/>
      <c r="AI56" s="439"/>
      <c r="AJ56" s="439"/>
      <c r="AK56" s="439"/>
      <c r="AL56" s="439"/>
      <c r="AM56" s="439"/>
      <c r="AN56" s="441"/>
      <c r="AO56" s="203"/>
      <c r="AP56" s="441"/>
      <c r="AQ56" s="203"/>
      <c r="AR56" s="439"/>
      <c r="AS56" s="439"/>
      <c r="AT56" s="439"/>
      <c r="AU56" s="439"/>
      <c r="AV56" s="439"/>
      <c r="AW56" s="439"/>
      <c r="AX56" s="439"/>
      <c r="AY56" s="441"/>
      <c r="AZ56" s="203"/>
      <c r="BA56" s="441"/>
      <c r="BB56" s="203"/>
      <c r="BC56" s="439"/>
      <c r="BD56" s="439"/>
      <c r="BE56" s="439"/>
      <c r="BF56" s="439"/>
      <c r="BG56" s="439"/>
      <c r="BH56" s="439"/>
      <c r="BI56" s="439"/>
      <c r="BJ56" s="441"/>
      <c r="BK56" s="203"/>
      <c r="BL56" s="441"/>
      <c r="BM56" s="203"/>
      <c r="BN56" s="439"/>
      <c r="BO56" s="439"/>
      <c r="BP56" s="439"/>
      <c r="BQ56" s="439"/>
      <c r="BR56" s="439"/>
      <c r="BS56" s="439"/>
      <c r="BT56" s="439"/>
      <c r="BU56" s="441"/>
      <c r="BV56" s="203"/>
      <c r="BW56" s="441"/>
      <c r="BX56" s="203"/>
      <c r="BY56" s="439"/>
      <c r="BZ56" s="439"/>
      <c r="CA56" s="439"/>
      <c r="CB56" s="439"/>
      <c r="CC56" s="439"/>
      <c r="CD56" s="439"/>
      <c r="CE56" s="439"/>
      <c r="CF56" s="441"/>
      <c r="CG56" s="203"/>
      <c r="CH56" s="441"/>
      <c r="CI56" s="203"/>
      <c r="CJ56" s="439"/>
      <c r="CK56" s="439"/>
      <c r="CL56" s="439"/>
      <c r="CM56" s="439"/>
      <c r="CN56" s="439"/>
      <c r="CO56" s="439"/>
      <c r="CP56" s="439"/>
      <c r="CQ56" s="441"/>
      <c r="CR56" s="203"/>
      <c r="CS56" s="441"/>
      <c r="CT56" s="203"/>
      <c r="CU56" s="439"/>
      <c r="CV56" s="439"/>
      <c r="CW56" s="439"/>
      <c r="CX56" s="439"/>
      <c r="CY56" s="439"/>
      <c r="CZ56" s="439"/>
      <c r="DA56" s="439"/>
      <c r="DB56" s="441"/>
      <c r="DC56" s="203"/>
      <c r="DD56" s="441"/>
      <c r="DE56" s="203"/>
      <c r="DF56" s="439"/>
      <c r="DG56" s="439"/>
      <c r="DH56" s="439"/>
      <c r="DI56" s="439"/>
      <c r="DJ56" s="439"/>
      <c r="DK56" s="439"/>
      <c r="DL56" s="439"/>
      <c r="DM56" s="441"/>
      <c r="DN56" s="203"/>
      <c r="DO56" s="441"/>
      <c r="DP56" s="203"/>
      <c r="DQ56" s="439"/>
      <c r="DR56" s="439"/>
      <c r="DS56" s="439"/>
      <c r="DT56" s="439"/>
      <c r="DU56" s="439"/>
      <c r="DV56" s="439"/>
      <c r="DW56" s="439"/>
      <c r="DX56" s="441"/>
      <c r="DY56" s="203"/>
      <c r="DZ56" s="441"/>
      <c r="EA56" s="203"/>
      <c r="EB56" s="439"/>
      <c r="EC56" s="439"/>
      <c r="ED56" s="439"/>
      <c r="EE56" s="439"/>
      <c r="EF56" s="439"/>
      <c r="EG56" s="439"/>
      <c r="EH56" s="439"/>
      <c r="EI56" s="441"/>
      <c r="EJ56" s="203"/>
      <c r="EK56" s="441"/>
      <c r="EL56" s="203"/>
      <c r="EM56" s="565"/>
      <c r="EN56" s="564"/>
      <c r="EO56" s="47"/>
      <c r="EP56" s="117"/>
      <c r="EQ56" s="117" t="str">
        <f aca="false">IF(T56="","",T56)</f>
        <v/>
      </c>
      <c r="ER56" s="117"/>
      <c r="ES56" s="117"/>
    </row>
    <row r="57" s="53" customFormat="true" ht="23.25" hidden="false" customHeight="true" outlineLevel="0" collapsed="false">
      <c r="A57" s="415"/>
      <c r="B57" s="415"/>
      <c r="C57" s="415"/>
      <c r="D57" s="415"/>
      <c r="E57" s="416"/>
      <c r="F57" s="416"/>
      <c r="G57" s="416"/>
      <c r="H57" s="416"/>
      <c r="I57" s="431"/>
      <c r="J57" s="431"/>
      <c r="K57" s="431" t="str">
        <f aca="false">J54&amp;".2"</f>
        <v>1.1.1.1.2.2</v>
      </c>
      <c r="L57" s="417"/>
      <c r="M57" s="51"/>
      <c r="N57" s="51"/>
      <c r="O57" s="51"/>
      <c r="P57" s="120"/>
      <c r="Q57" s="120"/>
      <c r="R57" s="137" t="s">
        <v>100</v>
      </c>
      <c r="S57" s="419" t="str">
        <f aca="false">$K57</f>
        <v>1.1.1.1.2.2</v>
      </c>
      <c r="T57" s="562" t="s">
        <v>560</v>
      </c>
      <c r="U57" s="421"/>
      <c r="V57" s="438"/>
      <c r="W57" s="438"/>
      <c r="X57" s="438"/>
      <c r="Y57" s="438"/>
      <c r="Z57" s="438"/>
      <c r="AA57" s="438"/>
      <c r="AB57" s="438"/>
      <c r="AC57" s="441"/>
      <c r="AD57" s="203" t="s">
        <v>63</v>
      </c>
      <c r="AE57" s="441"/>
      <c r="AF57" s="203" t="s">
        <v>63</v>
      </c>
      <c r="AG57" s="438"/>
      <c r="AH57" s="438" t="n">
        <v>37.25</v>
      </c>
      <c r="AI57" s="438"/>
      <c r="AJ57" s="438"/>
      <c r="AK57" s="438" t="n">
        <v>2699.75</v>
      </c>
      <c r="AL57" s="438"/>
      <c r="AM57" s="438"/>
      <c r="AN57" s="441" t="n">
        <v>45292.4929166667</v>
      </c>
      <c r="AO57" s="203" t="s">
        <v>63</v>
      </c>
      <c r="AP57" s="441" t="n">
        <v>45473.4930555556</v>
      </c>
      <c r="AQ57" s="203" t="s">
        <v>63</v>
      </c>
      <c r="AR57" s="438"/>
      <c r="AS57" s="438" t="n">
        <f aca="false">AS55</f>
        <v>39.41</v>
      </c>
      <c r="AT57" s="438"/>
      <c r="AU57" s="438"/>
      <c r="AV57" s="438" t="n">
        <v>2954.54</v>
      </c>
      <c r="AW57" s="438"/>
      <c r="AX57" s="438"/>
      <c r="AY57" s="441" t="n">
        <v>45474.5543865741</v>
      </c>
      <c r="AZ57" s="203" t="s">
        <v>63</v>
      </c>
      <c r="BA57" s="441" t="n">
        <v>45657.5545601852</v>
      </c>
      <c r="BB57" s="203" t="s">
        <v>63</v>
      </c>
      <c r="BC57" s="438"/>
      <c r="BD57" s="438" t="n">
        <f aca="false">AS57</f>
        <v>39.41</v>
      </c>
      <c r="BE57" s="438"/>
      <c r="BF57" s="438"/>
      <c r="BG57" s="438" t="n">
        <f aca="false">AV57</f>
        <v>2954.54</v>
      </c>
      <c r="BH57" s="438"/>
      <c r="BI57" s="438"/>
      <c r="BJ57" s="441" t="n">
        <v>45658.5550694445</v>
      </c>
      <c r="BK57" s="203" t="s">
        <v>63</v>
      </c>
      <c r="BL57" s="441" t="n">
        <v>45838.555162037</v>
      </c>
      <c r="BM57" s="203" t="s">
        <v>63</v>
      </c>
      <c r="BN57" s="438"/>
      <c r="BO57" s="438" t="n">
        <v>39.9</v>
      </c>
      <c r="BP57" s="438"/>
      <c r="BQ57" s="438"/>
      <c r="BR57" s="438" t="n">
        <v>2999.23</v>
      </c>
      <c r="BS57" s="438"/>
      <c r="BT57" s="438"/>
      <c r="BU57" s="441" t="n">
        <v>45839.5555671296</v>
      </c>
      <c r="BV57" s="203" t="s">
        <v>63</v>
      </c>
      <c r="BW57" s="441" t="n">
        <v>46022.5559953704</v>
      </c>
      <c r="BX57" s="203" t="s">
        <v>63</v>
      </c>
      <c r="BY57" s="438"/>
      <c r="BZ57" s="438" t="n">
        <f aca="false">BO57</f>
        <v>39.9</v>
      </c>
      <c r="CA57" s="438"/>
      <c r="CB57" s="438"/>
      <c r="CC57" s="438" t="n">
        <f aca="false">BR57</f>
        <v>2999.23</v>
      </c>
      <c r="CD57" s="438"/>
      <c r="CE57" s="438"/>
      <c r="CF57" s="441" t="n">
        <v>46023.5567824074</v>
      </c>
      <c r="CG57" s="203" t="s">
        <v>63</v>
      </c>
      <c r="CH57" s="441" t="n">
        <v>46203.5570138889</v>
      </c>
      <c r="CI57" s="203" t="s">
        <v>63</v>
      </c>
      <c r="CJ57" s="438"/>
      <c r="CK57" s="438" t="n">
        <v>42.29</v>
      </c>
      <c r="CL57" s="438"/>
      <c r="CM57" s="438"/>
      <c r="CN57" s="438" t="n">
        <v>3178.98</v>
      </c>
      <c r="CO57" s="438"/>
      <c r="CP57" s="438"/>
      <c r="CQ57" s="441" t="n">
        <v>46204.6796759259</v>
      </c>
      <c r="CR57" s="203" t="s">
        <v>63</v>
      </c>
      <c r="CS57" s="441" t="n">
        <v>46387.6797916667</v>
      </c>
      <c r="CT57" s="203" t="s">
        <v>63</v>
      </c>
      <c r="CU57" s="438"/>
      <c r="CV57" s="438" t="n">
        <f aca="false">CK57</f>
        <v>42.29</v>
      </c>
      <c r="CW57" s="438"/>
      <c r="CX57" s="438"/>
      <c r="CY57" s="438" t="n">
        <f aca="false">CN57</f>
        <v>3178.98</v>
      </c>
      <c r="CZ57" s="438"/>
      <c r="DA57" s="438"/>
      <c r="DB57" s="441" t="n">
        <v>46388.6799074074</v>
      </c>
      <c r="DC57" s="203" t="s">
        <v>63</v>
      </c>
      <c r="DD57" s="441" t="n">
        <v>46568.6799884259</v>
      </c>
      <c r="DE57" s="203" t="s">
        <v>63</v>
      </c>
      <c r="DF57" s="438"/>
      <c r="DG57" s="438" t="n">
        <v>42.36</v>
      </c>
      <c r="DH57" s="438"/>
      <c r="DI57" s="438"/>
      <c r="DJ57" s="438" t="n">
        <v>3205.85</v>
      </c>
      <c r="DK57" s="438"/>
      <c r="DL57" s="438"/>
      <c r="DM57" s="441" t="n">
        <v>46569.6801388889</v>
      </c>
      <c r="DN57" s="203" t="s">
        <v>63</v>
      </c>
      <c r="DO57" s="441" t="n">
        <v>46752.6802662037</v>
      </c>
      <c r="DP57" s="203" t="s">
        <v>63</v>
      </c>
      <c r="DQ57" s="438"/>
      <c r="DR57" s="438" t="n">
        <f aca="false">DG57</f>
        <v>42.36</v>
      </c>
      <c r="DS57" s="438"/>
      <c r="DT57" s="438"/>
      <c r="DU57" s="438" t="n">
        <f aca="false">DJ57</f>
        <v>3205.85</v>
      </c>
      <c r="DV57" s="438"/>
      <c r="DW57" s="438"/>
      <c r="DX57" s="441" t="n">
        <v>46753.6803935185</v>
      </c>
      <c r="DY57" s="203" t="s">
        <v>63</v>
      </c>
      <c r="DZ57" s="441" t="n">
        <v>46934.6804861111</v>
      </c>
      <c r="EA57" s="203" t="s">
        <v>63</v>
      </c>
      <c r="EB57" s="438"/>
      <c r="EC57" s="438" t="n">
        <v>44.27</v>
      </c>
      <c r="ED57" s="438"/>
      <c r="EE57" s="438"/>
      <c r="EF57" s="438" t="n">
        <v>3393.45</v>
      </c>
      <c r="EG57" s="438"/>
      <c r="EH57" s="438"/>
      <c r="EI57" s="441" t="n">
        <v>46935.6807175926</v>
      </c>
      <c r="EJ57" s="203" t="s">
        <v>63</v>
      </c>
      <c r="EK57" s="441" t="n">
        <v>47118.6808333333</v>
      </c>
      <c r="EL57" s="203" t="s">
        <v>63</v>
      </c>
      <c r="EM57" s="563"/>
      <c r="EN57" s="56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57" s="47" t="e">
        <f aca="false">strcheckdate(V58:EM58)</f>
        <v>#NAME?</v>
      </c>
      <c r="EP57" s="117"/>
      <c r="EQ57" s="117" t="str">
        <f aca="false">IF(T57="","",T57)</f>
        <v>От РК-2 через сети ФГБУ ЦЖКУ</v>
      </c>
      <c r="ER57" s="117"/>
      <c r="ES57" s="117"/>
    </row>
    <row r="58" s="53" customFormat="true" ht="14.25" hidden="false" customHeight="true" outlineLevel="0" collapsed="false">
      <c r="A58" s="415"/>
      <c r="B58" s="415"/>
      <c r="C58" s="415"/>
      <c r="D58" s="415"/>
      <c r="E58" s="416"/>
      <c r="F58" s="416"/>
      <c r="G58" s="416"/>
      <c r="H58" s="416"/>
      <c r="I58" s="431"/>
      <c r="J58" s="431"/>
      <c r="K58" s="431" t="str">
        <f aca="false">J54&amp;".1"</f>
        <v>1.1.1.1.2.1</v>
      </c>
      <c r="L58" s="417"/>
      <c r="M58" s="51"/>
      <c r="N58" s="51"/>
      <c r="O58" s="51"/>
      <c r="P58" s="120"/>
      <c r="Q58" s="120"/>
      <c r="R58" s="435"/>
      <c r="S58" s="396"/>
      <c r="T58" s="421"/>
      <c r="U58" s="421"/>
      <c r="V58" s="439"/>
      <c r="W58" s="439"/>
      <c r="X58" s="439"/>
      <c r="Y58" s="439"/>
      <c r="Z58" s="439"/>
      <c r="AA58" s="439"/>
      <c r="AB58" s="439"/>
      <c r="AC58" s="441"/>
      <c r="AD58" s="203"/>
      <c r="AE58" s="441"/>
      <c r="AF58" s="203"/>
      <c r="AG58" s="439"/>
      <c r="AH58" s="439"/>
      <c r="AI58" s="439"/>
      <c r="AJ58" s="439"/>
      <c r="AK58" s="439"/>
      <c r="AL58" s="439"/>
      <c r="AM58" s="439"/>
      <c r="AN58" s="441"/>
      <c r="AO58" s="203"/>
      <c r="AP58" s="441"/>
      <c r="AQ58" s="203"/>
      <c r="AR58" s="439"/>
      <c r="AS58" s="439"/>
      <c r="AT58" s="439"/>
      <c r="AU58" s="439"/>
      <c r="AV58" s="439"/>
      <c r="AW58" s="439"/>
      <c r="AX58" s="439"/>
      <c r="AY58" s="441"/>
      <c r="AZ58" s="203"/>
      <c r="BA58" s="441"/>
      <c r="BB58" s="203"/>
      <c r="BC58" s="439"/>
      <c r="BD58" s="439"/>
      <c r="BE58" s="439"/>
      <c r="BF58" s="439"/>
      <c r="BG58" s="439"/>
      <c r="BH58" s="439"/>
      <c r="BI58" s="439"/>
      <c r="BJ58" s="441"/>
      <c r="BK58" s="203"/>
      <c r="BL58" s="441"/>
      <c r="BM58" s="203"/>
      <c r="BN58" s="439"/>
      <c r="BO58" s="439"/>
      <c r="BP58" s="439"/>
      <c r="BQ58" s="439"/>
      <c r="BR58" s="439"/>
      <c r="BS58" s="439"/>
      <c r="BT58" s="439"/>
      <c r="BU58" s="441"/>
      <c r="BV58" s="203"/>
      <c r="BW58" s="441"/>
      <c r="BX58" s="203"/>
      <c r="BY58" s="439"/>
      <c r="BZ58" s="439"/>
      <c r="CA58" s="439"/>
      <c r="CB58" s="439"/>
      <c r="CC58" s="439"/>
      <c r="CD58" s="439"/>
      <c r="CE58" s="439"/>
      <c r="CF58" s="441"/>
      <c r="CG58" s="203"/>
      <c r="CH58" s="441"/>
      <c r="CI58" s="203"/>
      <c r="CJ58" s="439"/>
      <c r="CK58" s="439"/>
      <c r="CL58" s="439"/>
      <c r="CM58" s="439"/>
      <c r="CN58" s="439"/>
      <c r="CO58" s="439"/>
      <c r="CP58" s="439"/>
      <c r="CQ58" s="441"/>
      <c r="CR58" s="203"/>
      <c r="CS58" s="441"/>
      <c r="CT58" s="203"/>
      <c r="CU58" s="439"/>
      <c r="CV58" s="439"/>
      <c r="CW58" s="439"/>
      <c r="CX58" s="439"/>
      <c r="CY58" s="439"/>
      <c r="CZ58" s="439"/>
      <c r="DA58" s="439"/>
      <c r="DB58" s="441"/>
      <c r="DC58" s="203"/>
      <c r="DD58" s="441"/>
      <c r="DE58" s="203"/>
      <c r="DF58" s="439"/>
      <c r="DG58" s="439"/>
      <c r="DH58" s="439"/>
      <c r="DI58" s="439"/>
      <c r="DJ58" s="439"/>
      <c r="DK58" s="439"/>
      <c r="DL58" s="439"/>
      <c r="DM58" s="441"/>
      <c r="DN58" s="203"/>
      <c r="DO58" s="441"/>
      <c r="DP58" s="203"/>
      <c r="DQ58" s="439"/>
      <c r="DR58" s="439"/>
      <c r="DS58" s="439"/>
      <c r="DT58" s="439"/>
      <c r="DU58" s="439"/>
      <c r="DV58" s="439"/>
      <c r="DW58" s="439"/>
      <c r="DX58" s="441"/>
      <c r="DY58" s="203"/>
      <c r="DZ58" s="441"/>
      <c r="EA58" s="203"/>
      <c r="EB58" s="439"/>
      <c r="EC58" s="439"/>
      <c r="ED58" s="439"/>
      <c r="EE58" s="439"/>
      <c r="EF58" s="439"/>
      <c r="EG58" s="439"/>
      <c r="EH58" s="439"/>
      <c r="EI58" s="441"/>
      <c r="EJ58" s="203"/>
      <c r="EK58" s="441"/>
      <c r="EL58" s="203"/>
      <c r="EM58" s="565"/>
      <c r="EN58" s="564"/>
      <c r="EO58" s="47"/>
      <c r="EP58" s="117"/>
      <c r="EQ58" s="117" t="str">
        <f aca="false">IF(T58="","",T58)</f>
        <v/>
      </c>
      <c r="ER58" s="117"/>
      <c r="ES58" s="117"/>
    </row>
    <row r="59" s="53" customFormat="true" ht="21" hidden="false" customHeight="true" outlineLevel="0" collapsed="false">
      <c r="A59" s="415"/>
      <c r="B59" s="415"/>
      <c r="C59" s="415"/>
      <c r="D59" s="415"/>
      <c r="E59" s="416"/>
      <c r="F59" s="416"/>
      <c r="G59" s="416"/>
      <c r="H59" s="416"/>
      <c r="I59" s="431"/>
      <c r="J59" s="431" t="str">
        <f aca="false">I45&amp;".1"</f>
        <v>1.1.1.1.1</v>
      </c>
      <c r="K59" s="415"/>
      <c r="L59" s="417"/>
      <c r="M59" s="51"/>
      <c r="N59" s="51"/>
      <c r="O59" s="51"/>
      <c r="P59" s="120"/>
      <c r="Q59" s="120"/>
      <c r="R59" s="432"/>
      <c r="S59" s="444"/>
      <c r="T59" s="447" t="s">
        <v>500</v>
      </c>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3"/>
      <c r="BR59" s="193"/>
      <c r="BS59" s="193"/>
      <c r="BT59" s="193"/>
      <c r="BU59" s="193"/>
      <c r="BV59" s="193"/>
      <c r="BW59" s="193"/>
      <c r="BX59" s="193"/>
      <c r="BY59" s="193"/>
      <c r="BZ59" s="193"/>
      <c r="CA59" s="193"/>
      <c r="CB59" s="193"/>
      <c r="CC59" s="193"/>
      <c r="CD59" s="193"/>
      <c r="CE59" s="193"/>
      <c r="CF59" s="193"/>
      <c r="CG59" s="193"/>
      <c r="CH59" s="193"/>
      <c r="CI59" s="193"/>
      <c r="CJ59" s="193"/>
      <c r="CK59" s="193"/>
      <c r="CL59" s="193"/>
      <c r="CM59" s="193"/>
      <c r="CN59" s="193"/>
      <c r="CO59" s="193"/>
      <c r="CP59" s="193"/>
      <c r="CQ59" s="193"/>
      <c r="CR59" s="193"/>
      <c r="CS59" s="193"/>
      <c r="CT59" s="193"/>
      <c r="CU59" s="193"/>
      <c r="CV59" s="193"/>
      <c r="CW59" s="193"/>
      <c r="CX59" s="193"/>
      <c r="CY59" s="193"/>
      <c r="CZ59" s="193"/>
      <c r="DA59" s="193"/>
      <c r="DB59" s="193"/>
      <c r="DC59" s="193"/>
      <c r="DD59" s="193"/>
      <c r="DE59" s="193"/>
      <c r="DF59" s="193"/>
      <c r="DG59" s="193"/>
      <c r="DH59" s="193"/>
      <c r="DI59" s="193"/>
      <c r="DJ59" s="193"/>
      <c r="DK59" s="193"/>
      <c r="DL59" s="193"/>
      <c r="DM59" s="193"/>
      <c r="DN59" s="193"/>
      <c r="DO59" s="193"/>
      <c r="DP59" s="193"/>
      <c r="DQ59" s="193"/>
      <c r="DR59" s="193"/>
      <c r="DS59" s="193"/>
      <c r="DT59" s="193"/>
      <c r="DU59" s="193"/>
      <c r="DV59" s="193"/>
      <c r="DW59" s="193"/>
      <c r="DX59" s="193"/>
      <c r="DY59" s="193"/>
      <c r="DZ59" s="193"/>
      <c r="EA59" s="193"/>
      <c r="EB59" s="193"/>
      <c r="EC59" s="193"/>
      <c r="ED59" s="193"/>
      <c r="EE59" s="193"/>
      <c r="EF59" s="193"/>
      <c r="EG59" s="193"/>
      <c r="EH59" s="193"/>
      <c r="EI59" s="193"/>
      <c r="EJ59" s="193"/>
      <c r="EK59" s="193"/>
      <c r="EL59" s="193"/>
      <c r="EM59" s="193"/>
      <c r="EN59" s="424" t="s">
        <v>501</v>
      </c>
      <c r="EO59" s="47"/>
      <c r="EP59" s="117"/>
      <c r="EQ59" s="117" t="str">
        <f aca="false">IF(T59="","",T59)</f>
        <v>Добавить значение признака дифференциации</v>
      </c>
      <c r="ER59" s="117"/>
      <c r="ES59" s="117"/>
    </row>
    <row r="60" customFormat="false" ht="21" hidden="false" customHeight="true" outlineLevel="0" collapsed="false">
      <c r="A60" s="415" t="s">
        <v>258</v>
      </c>
      <c r="B60" s="415" t="s">
        <v>259</v>
      </c>
      <c r="C60" s="415" t="s">
        <v>260</v>
      </c>
      <c r="D60" s="415" t="s">
        <v>556</v>
      </c>
      <c r="E60" s="416"/>
      <c r="F60" s="416"/>
      <c r="G60" s="416"/>
      <c r="H60" s="416"/>
      <c r="I60" s="431"/>
      <c r="J60" s="415"/>
      <c r="K60" s="415"/>
      <c r="L60" s="417"/>
      <c r="P60" s="120"/>
      <c r="Q60" s="120"/>
      <c r="R60" s="432"/>
      <c r="S60" s="444"/>
      <c r="T60" s="451" t="s">
        <v>428</v>
      </c>
      <c r="U60" s="193"/>
      <c r="V60" s="193"/>
      <c r="W60" s="193"/>
      <c r="X60" s="193"/>
      <c r="Y60" s="193"/>
      <c r="Z60" s="193"/>
      <c r="AA60" s="193"/>
      <c r="AB60" s="193"/>
      <c r="AC60" s="193"/>
      <c r="AD60" s="193"/>
      <c r="AE60" s="193"/>
      <c r="AF60" s="448"/>
      <c r="AG60" s="193"/>
      <c r="AH60" s="193"/>
      <c r="AI60" s="193"/>
      <c r="AJ60" s="193"/>
      <c r="AK60" s="193"/>
      <c r="AL60" s="193"/>
      <c r="AM60" s="193"/>
      <c r="AN60" s="193"/>
      <c r="AO60" s="193"/>
      <c r="AP60" s="193"/>
      <c r="AQ60" s="448"/>
      <c r="AR60" s="193"/>
      <c r="AS60" s="193"/>
      <c r="AT60" s="193"/>
      <c r="AU60" s="193"/>
      <c r="AV60" s="193"/>
      <c r="AW60" s="193"/>
      <c r="AX60" s="193"/>
      <c r="AY60" s="193"/>
      <c r="AZ60" s="193"/>
      <c r="BA60" s="193"/>
      <c r="BB60" s="448"/>
      <c r="BC60" s="193"/>
      <c r="BD60" s="193"/>
      <c r="BE60" s="193"/>
      <c r="BF60" s="193"/>
      <c r="BG60" s="193"/>
      <c r="BH60" s="193"/>
      <c r="BI60" s="193"/>
      <c r="BJ60" s="193"/>
      <c r="BK60" s="193"/>
      <c r="BL60" s="193"/>
      <c r="BM60" s="448"/>
      <c r="BN60" s="193"/>
      <c r="BO60" s="193"/>
      <c r="BP60" s="193"/>
      <c r="BQ60" s="193"/>
      <c r="BR60" s="193"/>
      <c r="BS60" s="193"/>
      <c r="BT60" s="193"/>
      <c r="BU60" s="193"/>
      <c r="BV60" s="193"/>
      <c r="BW60" s="193"/>
      <c r="BX60" s="448"/>
      <c r="BY60" s="193"/>
      <c r="BZ60" s="193"/>
      <c r="CA60" s="193"/>
      <c r="CB60" s="193"/>
      <c r="CC60" s="193"/>
      <c r="CD60" s="193"/>
      <c r="CE60" s="193"/>
      <c r="CF60" s="193"/>
      <c r="CG60" s="193"/>
      <c r="CH60" s="193"/>
      <c r="CI60" s="448"/>
      <c r="CJ60" s="193"/>
      <c r="CK60" s="193"/>
      <c r="CL60" s="193"/>
      <c r="CM60" s="193"/>
      <c r="CN60" s="193"/>
      <c r="CO60" s="193"/>
      <c r="CP60" s="193"/>
      <c r="CQ60" s="193"/>
      <c r="CR60" s="193"/>
      <c r="CS60" s="193"/>
      <c r="CT60" s="448"/>
      <c r="CU60" s="193"/>
      <c r="CV60" s="193"/>
      <c r="CW60" s="193"/>
      <c r="CX60" s="193"/>
      <c r="CY60" s="193"/>
      <c r="CZ60" s="193"/>
      <c r="DA60" s="193"/>
      <c r="DB60" s="193"/>
      <c r="DC60" s="193"/>
      <c r="DD60" s="193"/>
      <c r="DE60" s="448"/>
      <c r="DF60" s="193"/>
      <c r="DG60" s="193"/>
      <c r="DH60" s="193"/>
      <c r="DI60" s="193"/>
      <c r="DJ60" s="193"/>
      <c r="DK60" s="193"/>
      <c r="DL60" s="193"/>
      <c r="DM60" s="193"/>
      <c r="DN60" s="193"/>
      <c r="DO60" s="193"/>
      <c r="DP60" s="448"/>
      <c r="DQ60" s="193"/>
      <c r="DR60" s="193"/>
      <c r="DS60" s="193"/>
      <c r="DT60" s="193"/>
      <c r="DU60" s="193"/>
      <c r="DV60" s="193"/>
      <c r="DW60" s="193"/>
      <c r="DX60" s="193"/>
      <c r="DY60" s="193"/>
      <c r="DZ60" s="193"/>
      <c r="EA60" s="448"/>
      <c r="EB60" s="193"/>
      <c r="EC60" s="193"/>
      <c r="ED60" s="193"/>
      <c r="EE60" s="193"/>
      <c r="EF60" s="193"/>
      <c r="EG60" s="193"/>
      <c r="EH60" s="193"/>
      <c r="EI60" s="193"/>
      <c r="EJ60" s="193"/>
      <c r="EK60" s="193"/>
      <c r="EL60" s="448"/>
      <c r="EM60" s="193"/>
      <c r="EN60" s="566"/>
      <c r="EP60" s="117"/>
      <c r="EQ60" s="117" t="str">
        <f aca="false">IF(T60="","",T60)</f>
        <v>Добавить группу потребителей</v>
      </c>
      <c r="ER60" s="117"/>
      <c r="ES60" s="117"/>
    </row>
    <row r="61" customFormat="false" ht="21" hidden="false" customHeight="true" outlineLevel="0" collapsed="false">
      <c r="A61" s="415" t="s">
        <v>258</v>
      </c>
      <c r="B61" s="415" t="s">
        <v>259</v>
      </c>
      <c r="C61" s="415" t="s">
        <v>260</v>
      </c>
      <c r="D61" s="415" t="s">
        <v>556</v>
      </c>
      <c r="E61" s="416"/>
      <c r="F61" s="416"/>
      <c r="G61" s="416"/>
      <c r="H61" s="560"/>
      <c r="I61" s="415"/>
      <c r="J61" s="415"/>
      <c r="K61" s="415"/>
      <c r="L61" s="417"/>
      <c r="M61" s="40"/>
      <c r="N61" s="40"/>
      <c r="O61" s="45"/>
      <c r="P61" s="131"/>
      <c r="Q61" s="450"/>
      <c r="R61" s="418"/>
      <c r="S61" s="444"/>
      <c r="T61" s="567" t="s">
        <v>502</v>
      </c>
      <c r="U61" s="193"/>
      <c r="V61" s="193"/>
      <c r="W61" s="193"/>
      <c r="X61" s="193"/>
      <c r="Y61" s="193"/>
      <c r="Z61" s="193"/>
      <c r="AA61" s="193"/>
      <c r="AB61" s="193"/>
      <c r="AC61" s="193"/>
      <c r="AD61" s="193"/>
      <c r="AE61" s="193"/>
      <c r="AF61" s="448"/>
      <c r="AG61" s="193"/>
      <c r="AH61" s="193"/>
      <c r="AI61" s="193"/>
      <c r="AJ61" s="193"/>
      <c r="AK61" s="193"/>
      <c r="AL61" s="193"/>
      <c r="AM61" s="193"/>
      <c r="AN61" s="193"/>
      <c r="AO61" s="193"/>
      <c r="AP61" s="193"/>
      <c r="AQ61" s="448"/>
      <c r="AR61" s="193"/>
      <c r="AS61" s="193"/>
      <c r="AT61" s="193"/>
      <c r="AU61" s="193"/>
      <c r="AV61" s="193"/>
      <c r="AW61" s="193"/>
      <c r="AX61" s="193"/>
      <c r="AY61" s="193"/>
      <c r="AZ61" s="193"/>
      <c r="BA61" s="193"/>
      <c r="BB61" s="448"/>
      <c r="BC61" s="193"/>
      <c r="BD61" s="193"/>
      <c r="BE61" s="193"/>
      <c r="BF61" s="193"/>
      <c r="BG61" s="193"/>
      <c r="BH61" s="193"/>
      <c r="BI61" s="193"/>
      <c r="BJ61" s="193"/>
      <c r="BK61" s="193"/>
      <c r="BL61" s="193"/>
      <c r="BM61" s="448"/>
      <c r="BN61" s="193"/>
      <c r="BO61" s="193"/>
      <c r="BP61" s="193"/>
      <c r="BQ61" s="193"/>
      <c r="BR61" s="193"/>
      <c r="BS61" s="193"/>
      <c r="BT61" s="193"/>
      <c r="BU61" s="193"/>
      <c r="BV61" s="193"/>
      <c r="BW61" s="193"/>
      <c r="BX61" s="448"/>
      <c r="BY61" s="193"/>
      <c r="BZ61" s="193"/>
      <c r="CA61" s="193"/>
      <c r="CB61" s="193"/>
      <c r="CC61" s="193"/>
      <c r="CD61" s="193"/>
      <c r="CE61" s="193"/>
      <c r="CF61" s="193"/>
      <c r="CG61" s="193"/>
      <c r="CH61" s="193"/>
      <c r="CI61" s="448"/>
      <c r="CJ61" s="193"/>
      <c r="CK61" s="193"/>
      <c r="CL61" s="193"/>
      <c r="CM61" s="193"/>
      <c r="CN61" s="193"/>
      <c r="CO61" s="193"/>
      <c r="CP61" s="193"/>
      <c r="CQ61" s="193"/>
      <c r="CR61" s="193"/>
      <c r="CS61" s="193"/>
      <c r="CT61" s="448"/>
      <c r="CU61" s="193"/>
      <c r="CV61" s="193"/>
      <c r="CW61" s="193"/>
      <c r="CX61" s="193"/>
      <c r="CY61" s="193"/>
      <c r="CZ61" s="193"/>
      <c r="DA61" s="193"/>
      <c r="DB61" s="193"/>
      <c r="DC61" s="193"/>
      <c r="DD61" s="193"/>
      <c r="DE61" s="448"/>
      <c r="DF61" s="193"/>
      <c r="DG61" s="193"/>
      <c r="DH61" s="193"/>
      <c r="DI61" s="193"/>
      <c r="DJ61" s="193"/>
      <c r="DK61" s="193"/>
      <c r="DL61" s="193"/>
      <c r="DM61" s="193"/>
      <c r="DN61" s="193"/>
      <c r="DO61" s="193"/>
      <c r="DP61" s="448"/>
      <c r="DQ61" s="193"/>
      <c r="DR61" s="193"/>
      <c r="DS61" s="193"/>
      <c r="DT61" s="193"/>
      <c r="DU61" s="193"/>
      <c r="DV61" s="193"/>
      <c r="DW61" s="193"/>
      <c r="DX61" s="193"/>
      <c r="DY61" s="193"/>
      <c r="DZ61" s="193"/>
      <c r="EA61" s="448"/>
      <c r="EB61" s="193"/>
      <c r="EC61" s="193"/>
      <c r="ED61" s="193"/>
      <c r="EE61" s="193"/>
      <c r="EF61" s="193"/>
      <c r="EG61" s="193"/>
      <c r="EH61" s="193"/>
      <c r="EI61" s="193"/>
      <c r="EJ61" s="193"/>
      <c r="EK61" s="193"/>
      <c r="EL61" s="448"/>
      <c r="EM61" s="193"/>
      <c r="EN61" s="449"/>
      <c r="EP61" s="117"/>
      <c r="EQ61" s="117" t="str">
        <f aca="false">IF(T61="","",T61)</f>
        <v>Добавить наименование признака дифференциации</v>
      </c>
      <c r="ER61" s="117"/>
      <c r="ES61" s="117"/>
    </row>
    <row r="62" s="47" customFormat="true" ht="12.8" hidden="false" customHeight="false" outlineLevel="0" collapsed="false">
      <c r="A62" s="121" t="s">
        <v>258</v>
      </c>
      <c r="B62" s="121" t="s">
        <v>259</v>
      </c>
      <c r="C62" s="121"/>
      <c r="D62" s="121"/>
      <c r="E62" s="416"/>
      <c r="F62" s="416"/>
      <c r="G62" s="121"/>
      <c r="H62" s="121"/>
      <c r="I62" s="121"/>
      <c r="J62" s="121"/>
      <c r="K62" s="121"/>
      <c r="L62" s="191"/>
      <c r="M62" s="456"/>
      <c r="N62" s="456"/>
      <c r="P62" s="155"/>
      <c r="Q62" s="452"/>
      <c r="R62" s="155"/>
      <c r="S62" s="457"/>
      <c r="T62" s="460" t="s">
        <v>261</v>
      </c>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459"/>
      <c r="BB62" s="459"/>
      <c r="BC62" s="459"/>
      <c r="BD62" s="459"/>
      <c r="BE62" s="459"/>
      <c r="BF62" s="459"/>
      <c r="BG62" s="459"/>
      <c r="BH62" s="459"/>
      <c r="BI62" s="459"/>
      <c r="BJ62" s="459"/>
      <c r="BK62" s="459"/>
      <c r="BL62" s="459"/>
      <c r="BM62" s="459"/>
      <c r="BN62" s="459"/>
      <c r="BO62" s="459"/>
      <c r="BP62" s="459"/>
      <c r="BQ62" s="459"/>
      <c r="BR62" s="459"/>
      <c r="BS62" s="459"/>
      <c r="BT62" s="459"/>
      <c r="BU62" s="459"/>
      <c r="BV62" s="459"/>
      <c r="BW62" s="459"/>
      <c r="BX62" s="459"/>
      <c r="BY62" s="459"/>
      <c r="BZ62" s="459"/>
      <c r="CA62" s="459"/>
      <c r="CB62" s="459"/>
      <c r="CC62" s="459"/>
      <c r="CD62" s="459"/>
      <c r="CE62" s="459"/>
      <c r="CF62" s="459"/>
      <c r="CG62" s="459"/>
      <c r="CH62" s="459"/>
      <c r="CI62" s="459"/>
      <c r="CJ62" s="459"/>
      <c r="CK62" s="459"/>
      <c r="CL62" s="459"/>
      <c r="CM62" s="459"/>
      <c r="CN62" s="459"/>
      <c r="CO62" s="459"/>
      <c r="CP62" s="459"/>
      <c r="CQ62" s="459"/>
      <c r="CR62" s="459"/>
      <c r="CS62" s="459"/>
      <c r="CT62" s="459"/>
      <c r="CU62" s="459"/>
      <c r="CV62" s="459"/>
      <c r="CW62" s="459"/>
      <c r="CX62" s="459"/>
      <c r="CY62" s="459"/>
      <c r="CZ62" s="459"/>
      <c r="DA62" s="459"/>
      <c r="DB62" s="459"/>
      <c r="DC62" s="459"/>
      <c r="DD62" s="459"/>
      <c r="DE62" s="459"/>
      <c r="DF62" s="459"/>
      <c r="DG62" s="459"/>
      <c r="DH62" s="459"/>
      <c r="DI62" s="459"/>
      <c r="DJ62" s="459"/>
      <c r="DK62" s="459"/>
      <c r="DL62" s="459"/>
      <c r="DM62" s="459"/>
      <c r="DN62" s="459"/>
      <c r="DO62" s="459"/>
      <c r="DP62" s="459"/>
      <c r="DQ62" s="459"/>
      <c r="DR62" s="459"/>
      <c r="DS62" s="459"/>
      <c r="DT62" s="459"/>
      <c r="DU62" s="459"/>
      <c r="DV62" s="459"/>
      <c r="DW62" s="459"/>
      <c r="DX62" s="459"/>
      <c r="DY62" s="459"/>
      <c r="DZ62" s="459"/>
      <c r="EA62" s="459"/>
      <c r="EB62" s="459"/>
      <c r="EC62" s="459"/>
      <c r="ED62" s="459"/>
      <c r="EE62" s="459"/>
      <c r="EF62" s="459"/>
      <c r="EG62" s="459"/>
      <c r="EH62" s="459"/>
      <c r="EI62" s="459"/>
      <c r="EJ62" s="459"/>
      <c r="EK62" s="459"/>
      <c r="EL62" s="459"/>
      <c r="EM62" s="459"/>
      <c r="EN62" s="459"/>
      <c r="EP62" s="117"/>
      <c r="EQ62" s="117" t="str">
        <f aca="false">IF(T62="","",T62)</f>
        <v>Добавить централизованную систему для дифференциации</v>
      </c>
      <c r="ER62" s="117"/>
      <c r="ES62" s="117"/>
    </row>
    <row r="63" s="53" customFormat="true" ht="23.25" hidden="false" customHeight="true" outlineLevel="0" collapsed="false">
      <c r="A63" s="415"/>
      <c r="B63" s="415" t="s">
        <v>262</v>
      </c>
      <c r="C63" s="415"/>
      <c r="D63" s="415"/>
      <c r="E63" s="416"/>
      <c r="F63" s="416" t="s">
        <v>99</v>
      </c>
      <c r="G63" s="415"/>
      <c r="H63" s="415"/>
      <c r="I63" s="415"/>
      <c r="J63" s="415"/>
      <c r="K63" s="415"/>
      <c r="L63" s="417"/>
      <c r="M63" s="40"/>
      <c r="N63" s="40"/>
      <c r="O63" s="40"/>
      <c r="P63" s="43"/>
      <c r="Q63" s="425"/>
      <c r="R63" s="426"/>
      <c r="S63" s="419" t="str">
        <f aca="false">INDEX(PT_DIFFERENTIATION_NUM_TER,MATCH(B63,PT_DIFFERENTIATION_TER_ID,0))</f>
        <v>1.2</v>
      </c>
      <c r="T63" s="427" t="s">
        <v>413</v>
      </c>
      <c r="U63" s="421"/>
      <c r="V63" s="422"/>
      <c r="W63" s="422"/>
      <c r="X63" s="422"/>
      <c r="Y63" s="422"/>
      <c r="Z63" s="422"/>
      <c r="AA63" s="422"/>
      <c r="AB63" s="422"/>
      <c r="AC63" s="422"/>
      <c r="AD63" s="422"/>
      <c r="AE63" s="422"/>
      <c r="AF63" s="422"/>
      <c r="AG63" s="423" t="str">
        <f aca="false">INDEX(PT_DIFFERENTIATION_TER,MATCH(B63,PT_DIFFERENTIATION_TER_ID,0))</f>
        <v>Территория 2</v>
      </c>
      <c r="AH63" s="423"/>
      <c r="AI63" s="423"/>
      <c r="AJ63" s="423"/>
      <c r="AK63" s="423"/>
      <c r="AL63" s="423"/>
      <c r="AM63" s="423"/>
      <c r="AN63" s="423"/>
      <c r="AO63" s="423"/>
      <c r="AP63" s="423"/>
      <c r="AQ63" s="423"/>
      <c r="AR63" s="423"/>
      <c r="AS63" s="423"/>
      <c r="AT63" s="423"/>
      <c r="AU63" s="423"/>
      <c r="AV63" s="423"/>
      <c r="AW63" s="423"/>
      <c r="AX63" s="423"/>
      <c r="AY63" s="423"/>
      <c r="AZ63" s="423"/>
      <c r="BA63" s="423"/>
      <c r="BB63" s="423"/>
      <c r="BC63" s="423"/>
      <c r="BD63" s="423"/>
      <c r="BE63" s="423"/>
      <c r="BF63" s="423"/>
      <c r="BG63" s="423"/>
      <c r="BH63" s="423"/>
      <c r="BI63" s="423"/>
      <c r="BJ63" s="423"/>
      <c r="BK63" s="423"/>
      <c r="BL63" s="423"/>
      <c r="BM63" s="423"/>
      <c r="BN63" s="423"/>
      <c r="BO63" s="423"/>
      <c r="BP63" s="423"/>
      <c r="BQ63" s="423"/>
      <c r="BR63" s="423"/>
      <c r="BS63" s="423"/>
      <c r="BT63" s="423"/>
      <c r="BU63" s="423"/>
      <c r="BV63" s="423"/>
      <c r="BW63" s="423"/>
      <c r="BX63" s="423"/>
      <c r="BY63" s="423"/>
      <c r="BZ63" s="423"/>
      <c r="CA63" s="423"/>
      <c r="CB63" s="423"/>
      <c r="CC63" s="423"/>
      <c r="CD63" s="423"/>
      <c r="CE63" s="423"/>
      <c r="CF63" s="423"/>
      <c r="CG63" s="423"/>
      <c r="CH63" s="423"/>
      <c r="CI63" s="423"/>
      <c r="CJ63" s="423"/>
      <c r="CK63" s="423"/>
      <c r="CL63" s="423"/>
      <c r="CM63" s="423"/>
      <c r="CN63" s="423"/>
      <c r="CO63" s="423"/>
      <c r="CP63" s="423"/>
      <c r="CQ63" s="423"/>
      <c r="CR63" s="423"/>
      <c r="CS63" s="423"/>
      <c r="CT63" s="423"/>
      <c r="CU63" s="423"/>
      <c r="CV63" s="423"/>
      <c r="CW63" s="423"/>
      <c r="CX63" s="423"/>
      <c r="CY63" s="423"/>
      <c r="CZ63" s="423"/>
      <c r="DA63" s="423"/>
      <c r="DB63" s="423"/>
      <c r="DC63" s="423"/>
      <c r="DD63" s="423"/>
      <c r="DE63" s="423"/>
      <c r="DF63" s="423"/>
      <c r="DG63" s="423"/>
      <c r="DH63" s="423"/>
      <c r="DI63" s="423"/>
      <c r="DJ63" s="423"/>
      <c r="DK63" s="423"/>
      <c r="DL63" s="423"/>
      <c r="DM63" s="423"/>
      <c r="DN63" s="423"/>
      <c r="DO63" s="423"/>
      <c r="DP63" s="423"/>
      <c r="DQ63" s="423"/>
      <c r="DR63" s="423"/>
      <c r="DS63" s="423"/>
      <c r="DT63" s="423"/>
      <c r="DU63" s="423"/>
      <c r="DV63" s="423"/>
      <c r="DW63" s="423"/>
      <c r="DX63" s="423"/>
      <c r="DY63" s="423"/>
      <c r="DZ63" s="423"/>
      <c r="EA63" s="423"/>
      <c r="EB63" s="423"/>
      <c r="EC63" s="423"/>
      <c r="ED63" s="423"/>
      <c r="EE63" s="423"/>
      <c r="EF63" s="423"/>
      <c r="EG63" s="423"/>
      <c r="EH63" s="423"/>
      <c r="EI63" s="423"/>
      <c r="EJ63" s="423"/>
      <c r="EK63" s="423"/>
      <c r="EL63" s="423"/>
      <c r="EM63" s="423"/>
      <c r="EN63" s="424" t="s">
        <v>414</v>
      </c>
      <c r="EO63" s="47"/>
      <c r="EP63" s="117"/>
      <c r="EQ63" s="117" t="str">
        <f aca="false">IF(T63="","",T63)</f>
        <v>Территория действия тарифа</v>
      </c>
      <c r="ER63" s="117"/>
      <c r="ES63" s="117"/>
    </row>
    <row r="64" s="53" customFormat="true" ht="23.25" hidden="false" customHeight="true" outlineLevel="0" collapsed="false">
      <c r="A64" s="415"/>
      <c r="B64" s="415"/>
      <c r="C64" s="415" t="s">
        <v>263</v>
      </c>
      <c r="D64" s="415"/>
      <c r="E64" s="416"/>
      <c r="F64" s="416" t="n">
        <v>1</v>
      </c>
      <c r="G64" s="416" t="n">
        <v>1</v>
      </c>
      <c r="H64" s="415"/>
      <c r="I64" s="415"/>
      <c r="J64" s="415"/>
      <c r="K64" s="415"/>
      <c r="L64" s="417"/>
      <c r="M64" s="40"/>
      <c r="N64" s="40"/>
      <c r="O64" s="40"/>
      <c r="P64" s="428"/>
      <c r="Q64" s="425"/>
      <c r="R64" s="426"/>
      <c r="S64" s="419" t="str">
        <f aca="false">INDEX(PT_DIFFERENTIATION_NUM_CS,MATCH(C64,PT_DIFFERENTIATION_CS_ID,0))</f>
        <v>1.2.1</v>
      </c>
      <c r="T64" s="429" t="s">
        <v>544</v>
      </c>
      <c r="U64" s="421"/>
      <c r="V64" s="422"/>
      <c r="W64" s="422"/>
      <c r="X64" s="422"/>
      <c r="Y64" s="422"/>
      <c r="Z64" s="422"/>
      <c r="AA64" s="422"/>
      <c r="AB64" s="422"/>
      <c r="AC64" s="422"/>
      <c r="AD64" s="422"/>
      <c r="AE64" s="422"/>
      <c r="AF64" s="422"/>
      <c r="AG64" s="423" t="str">
        <f aca="false">INDEX(PT_DIFFERENTIATION_CS,MATCH(C64,PT_DIFFERENTIATION_CS_ID,0))</f>
        <v>без дифференциации</v>
      </c>
      <c r="AH64" s="423"/>
      <c r="AI64" s="423"/>
      <c r="AJ64" s="423"/>
      <c r="AK64" s="423"/>
      <c r="AL64" s="423"/>
      <c r="AM64" s="423"/>
      <c r="AN64" s="423"/>
      <c r="AO64" s="423"/>
      <c r="AP64" s="423"/>
      <c r="AQ64" s="423"/>
      <c r="AR64" s="423"/>
      <c r="AS64" s="423"/>
      <c r="AT64" s="423"/>
      <c r="AU64" s="423"/>
      <c r="AV64" s="423"/>
      <c r="AW64" s="423"/>
      <c r="AX64" s="423"/>
      <c r="AY64" s="423"/>
      <c r="AZ64" s="423"/>
      <c r="BA64" s="423"/>
      <c r="BB64" s="423"/>
      <c r="BC64" s="423"/>
      <c r="BD64" s="423"/>
      <c r="BE64" s="423"/>
      <c r="BF64" s="423"/>
      <c r="BG64" s="423"/>
      <c r="BH64" s="423"/>
      <c r="BI64" s="423"/>
      <c r="BJ64" s="423"/>
      <c r="BK64" s="423"/>
      <c r="BL64" s="423"/>
      <c r="BM64" s="423"/>
      <c r="BN64" s="423"/>
      <c r="BO64" s="423"/>
      <c r="BP64" s="423"/>
      <c r="BQ64" s="423"/>
      <c r="BR64" s="423"/>
      <c r="BS64" s="423"/>
      <c r="BT64" s="423"/>
      <c r="BU64" s="423"/>
      <c r="BV64" s="423"/>
      <c r="BW64" s="423"/>
      <c r="BX64" s="423"/>
      <c r="BY64" s="423"/>
      <c r="BZ64" s="423"/>
      <c r="CA64" s="423"/>
      <c r="CB64" s="423"/>
      <c r="CC64" s="423"/>
      <c r="CD64" s="423"/>
      <c r="CE64" s="423"/>
      <c r="CF64" s="423"/>
      <c r="CG64" s="423"/>
      <c r="CH64" s="423"/>
      <c r="CI64" s="423"/>
      <c r="CJ64" s="423"/>
      <c r="CK64" s="423"/>
      <c r="CL64" s="423"/>
      <c r="CM64" s="423"/>
      <c r="CN64" s="423"/>
      <c r="CO64" s="423"/>
      <c r="CP64" s="423"/>
      <c r="CQ64" s="423"/>
      <c r="CR64" s="423"/>
      <c r="CS64" s="423"/>
      <c r="CT64" s="423"/>
      <c r="CU64" s="423"/>
      <c r="CV64" s="423"/>
      <c r="CW64" s="423"/>
      <c r="CX64" s="423"/>
      <c r="CY64" s="423"/>
      <c r="CZ64" s="423"/>
      <c r="DA64" s="423"/>
      <c r="DB64" s="423"/>
      <c r="DC64" s="423"/>
      <c r="DD64" s="423"/>
      <c r="DE64" s="423"/>
      <c r="DF64" s="423"/>
      <c r="DG64" s="423"/>
      <c r="DH64" s="423"/>
      <c r="DI64" s="423"/>
      <c r="DJ64" s="423"/>
      <c r="DK64" s="423"/>
      <c r="DL64" s="423"/>
      <c r="DM64" s="423"/>
      <c r="DN64" s="423"/>
      <c r="DO64" s="423"/>
      <c r="DP64" s="423"/>
      <c r="DQ64" s="423"/>
      <c r="DR64" s="423"/>
      <c r="DS64" s="423"/>
      <c r="DT64" s="423"/>
      <c r="DU64" s="423"/>
      <c r="DV64" s="423"/>
      <c r="DW64" s="423"/>
      <c r="DX64" s="423"/>
      <c r="DY64" s="423"/>
      <c r="DZ64" s="423"/>
      <c r="EA64" s="423"/>
      <c r="EB64" s="423"/>
      <c r="EC64" s="423"/>
      <c r="ED64" s="423"/>
      <c r="EE64" s="423"/>
      <c r="EF64" s="423"/>
      <c r="EG64" s="423"/>
      <c r="EH64" s="423"/>
      <c r="EI64" s="423"/>
      <c r="EJ64" s="423"/>
      <c r="EK64" s="423"/>
      <c r="EL64" s="423"/>
      <c r="EM64" s="423"/>
      <c r="EN64" s="424" t="s">
        <v>545</v>
      </c>
      <c r="EO64" s="47"/>
      <c r="EP64" s="117"/>
      <c r="EQ64" s="117" t="str">
        <f aca="false">IF(T64="","",T64)</f>
        <v>Наименование централизованной системы горячего водоснабжения</v>
      </c>
      <c r="ER64" s="117"/>
      <c r="ES64" s="117"/>
    </row>
    <row r="65" s="53" customFormat="true" ht="23.25" hidden="false" customHeight="true" outlineLevel="0" collapsed="false">
      <c r="A65" s="415"/>
      <c r="B65" s="415"/>
      <c r="C65" s="415"/>
      <c r="D65" s="415"/>
      <c r="E65" s="416"/>
      <c r="F65" s="416" t="n">
        <v>1</v>
      </c>
      <c r="G65" s="416"/>
      <c r="H65" s="560"/>
      <c r="I65" s="431" t="str">
        <f aca="false">S64&amp;".1"</f>
        <v>1.2.1.1</v>
      </c>
      <c r="J65" s="415"/>
      <c r="K65" s="415"/>
      <c r="L65" s="417"/>
      <c r="M65" s="51"/>
      <c r="N65" s="51"/>
      <c r="O65" s="51"/>
      <c r="P65" s="120" t="n">
        <v>1</v>
      </c>
      <c r="Q65" s="120"/>
      <c r="R65" s="432"/>
      <c r="S65" s="419" t="str">
        <f aca="false">$I65</f>
        <v>1.2.1.1</v>
      </c>
      <c r="T65" s="433" t="s">
        <v>497</v>
      </c>
      <c r="U65" s="421"/>
      <c r="V65" s="561"/>
      <c r="W65" s="561"/>
      <c r="X65" s="561"/>
      <c r="Y65" s="561"/>
      <c r="Z65" s="561"/>
      <c r="AA65" s="561"/>
      <c r="AB65" s="561"/>
      <c r="AC65" s="561"/>
      <c r="AD65" s="561"/>
      <c r="AE65" s="561"/>
      <c r="AF65" s="561"/>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S65" s="245"/>
      <c r="CT65" s="245"/>
      <c r="CU65" s="245"/>
      <c r="CV65" s="245"/>
      <c r="CW65" s="245"/>
      <c r="CX65" s="245"/>
      <c r="CY65" s="245"/>
      <c r="CZ65" s="245"/>
      <c r="DA65" s="245"/>
      <c r="DB65" s="245"/>
      <c r="DC65" s="245"/>
      <c r="DD65" s="245"/>
      <c r="DE65" s="245"/>
      <c r="DF65" s="245"/>
      <c r="DG65" s="245"/>
      <c r="DH65" s="245"/>
      <c r="DI65" s="245"/>
      <c r="DJ65" s="245"/>
      <c r="DK65" s="245"/>
      <c r="DL65" s="245"/>
      <c r="DM65" s="245"/>
      <c r="DN65" s="245"/>
      <c r="DO65" s="245"/>
      <c r="DP65" s="245"/>
      <c r="DQ65" s="245"/>
      <c r="DR65" s="245"/>
      <c r="DS65" s="245"/>
      <c r="DT65" s="245"/>
      <c r="DU65" s="245"/>
      <c r="DV65" s="245"/>
      <c r="DW65" s="245"/>
      <c r="DX65" s="245"/>
      <c r="DY65" s="245"/>
      <c r="DZ65" s="245"/>
      <c r="EA65" s="245"/>
      <c r="EB65" s="245"/>
      <c r="EC65" s="245"/>
      <c r="ED65" s="245"/>
      <c r="EE65" s="245"/>
      <c r="EF65" s="245"/>
      <c r="EG65" s="245"/>
      <c r="EH65" s="245"/>
      <c r="EI65" s="245"/>
      <c r="EJ65" s="245"/>
      <c r="EK65" s="245"/>
      <c r="EL65" s="245"/>
      <c r="EM65" s="245"/>
      <c r="EN65" s="424" t="s">
        <v>498</v>
      </c>
      <c r="EO65" s="47"/>
      <c r="EP65" s="117"/>
      <c r="EQ65" s="117" t="str">
        <f aca="false">IF(T65="","",T65)</f>
        <v>Наименование признака дифференциации</v>
      </c>
      <c r="ER65" s="117"/>
      <c r="ES65" s="117"/>
    </row>
    <row r="66" s="53" customFormat="true" ht="23.25" hidden="false" customHeight="true" outlineLevel="0" collapsed="false">
      <c r="A66" s="415"/>
      <c r="B66" s="415"/>
      <c r="C66" s="415"/>
      <c r="D66" s="415"/>
      <c r="E66" s="416"/>
      <c r="F66" s="416" t="n">
        <v>1</v>
      </c>
      <c r="G66" s="416"/>
      <c r="H66" s="416"/>
      <c r="I66" s="431"/>
      <c r="J66" s="431" t="str">
        <f aca="false">I65&amp;".1"</f>
        <v>1.2.1.1.1</v>
      </c>
      <c r="K66" s="415"/>
      <c r="L66" s="417" t="s">
        <v>422</v>
      </c>
      <c r="M66" s="51"/>
      <c r="N66" s="51"/>
      <c r="O66" s="51"/>
      <c r="P66" s="120"/>
      <c r="Q66" s="120" t="n">
        <v>1</v>
      </c>
      <c r="R66" s="435"/>
      <c r="S66" s="419" t="str">
        <f aca="false">$J66</f>
        <v>1.2.1.1.1</v>
      </c>
      <c r="T66" s="436" t="s">
        <v>423</v>
      </c>
      <c r="U66" s="421"/>
      <c r="V66" s="434"/>
      <c r="W66" s="434"/>
      <c r="X66" s="434"/>
      <c r="Y66" s="434"/>
      <c r="Z66" s="434"/>
      <c r="AA66" s="434"/>
      <c r="AB66" s="434"/>
      <c r="AC66" s="434"/>
      <c r="AD66" s="434"/>
      <c r="AE66" s="434"/>
      <c r="AF66" s="434"/>
      <c r="AG66" s="434" t="s">
        <v>557</v>
      </c>
      <c r="AH66" s="434"/>
      <c r="AI66" s="434"/>
      <c r="AJ66" s="434"/>
      <c r="AK66" s="434"/>
      <c r="AL66" s="434"/>
      <c r="AM66" s="434"/>
      <c r="AN66" s="434"/>
      <c r="AO66" s="434"/>
      <c r="AP66" s="434"/>
      <c r="AQ66" s="434"/>
      <c r="AR66" s="434"/>
      <c r="AS66" s="434"/>
      <c r="AT66" s="434"/>
      <c r="AU66" s="434"/>
      <c r="AV66" s="434"/>
      <c r="AW66" s="434"/>
      <c r="AX66" s="434"/>
      <c r="AY66" s="434"/>
      <c r="AZ66" s="434"/>
      <c r="BA66" s="434"/>
      <c r="BB66" s="434"/>
      <c r="BC66" s="434"/>
      <c r="BD66" s="434"/>
      <c r="BE66" s="434"/>
      <c r="BF66" s="434"/>
      <c r="BG66" s="434"/>
      <c r="BH66" s="434"/>
      <c r="BI66" s="434"/>
      <c r="BJ66" s="434"/>
      <c r="BK66" s="434"/>
      <c r="BL66" s="434"/>
      <c r="BM66" s="434"/>
      <c r="BN66" s="434"/>
      <c r="BO66" s="434"/>
      <c r="BP66" s="434"/>
      <c r="BQ66" s="434"/>
      <c r="BR66" s="434"/>
      <c r="BS66" s="434"/>
      <c r="BT66" s="434"/>
      <c r="BU66" s="434"/>
      <c r="BV66" s="434"/>
      <c r="BW66" s="434"/>
      <c r="BX66" s="434"/>
      <c r="BY66" s="434"/>
      <c r="BZ66" s="434"/>
      <c r="CA66" s="434"/>
      <c r="CB66" s="434"/>
      <c r="CC66" s="434"/>
      <c r="CD66" s="434"/>
      <c r="CE66" s="434"/>
      <c r="CF66" s="434"/>
      <c r="CG66" s="434"/>
      <c r="CH66" s="434"/>
      <c r="CI66" s="434"/>
      <c r="CJ66" s="434"/>
      <c r="CK66" s="434"/>
      <c r="CL66" s="434"/>
      <c r="CM66" s="434"/>
      <c r="CN66" s="434"/>
      <c r="CO66" s="434"/>
      <c r="CP66" s="434"/>
      <c r="CQ66" s="434"/>
      <c r="CR66" s="434"/>
      <c r="CS66" s="434"/>
      <c r="CT66" s="434"/>
      <c r="CU66" s="434"/>
      <c r="CV66" s="434"/>
      <c r="CW66" s="434"/>
      <c r="CX66" s="434"/>
      <c r="CY66" s="434"/>
      <c r="CZ66" s="434"/>
      <c r="DA66" s="434"/>
      <c r="DB66" s="434"/>
      <c r="DC66" s="434"/>
      <c r="DD66" s="434"/>
      <c r="DE66" s="434"/>
      <c r="DF66" s="434"/>
      <c r="DG66" s="434"/>
      <c r="DH66" s="434"/>
      <c r="DI66" s="434"/>
      <c r="DJ66" s="434"/>
      <c r="DK66" s="434"/>
      <c r="DL66" s="434"/>
      <c r="DM66" s="434"/>
      <c r="DN66" s="434"/>
      <c r="DO66" s="434"/>
      <c r="DP66" s="434"/>
      <c r="DQ66" s="434"/>
      <c r="DR66" s="434"/>
      <c r="DS66" s="434"/>
      <c r="DT66" s="434"/>
      <c r="DU66" s="434"/>
      <c r="DV66" s="434"/>
      <c r="DW66" s="434"/>
      <c r="DX66" s="434"/>
      <c r="DY66" s="434"/>
      <c r="DZ66" s="434"/>
      <c r="EA66" s="434"/>
      <c r="EB66" s="434"/>
      <c r="EC66" s="434"/>
      <c r="ED66" s="434"/>
      <c r="EE66" s="434"/>
      <c r="EF66" s="434"/>
      <c r="EG66" s="434"/>
      <c r="EH66" s="434"/>
      <c r="EI66" s="434"/>
      <c r="EJ66" s="434"/>
      <c r="EK66" s="434"/>
      <c r="EL66" s="434"/>
      <c r="EM66" s="434"/>
      <c r="EN66" s="514" t="s">
        <v>499</v>
      </c>
      <c r="EO66" s="47"/>
      <c r="EP66" s="117"/>
      <c r="EQ66" s="117" t="str">
        <f aca="false">IF(T66="","",T66)</f>
        <v>Группа потребителей</v>
      </c>
      <c r="ER66" s="117"/>
      <c r="ES66" s="117"/>
    </row>
    <row r="67" s="53" customFormat="true" ht="23.25" hidden="false" customHeight="true" outlineLevel="0" collapsed="false">
      <c r="A67" s="415"/>
      <c r="B67" s="415"/>
      <c r="C67" s="415"/>
      <c r="D67" s="415"/>
      <c r="E67" s="416"/>
      <c r="F67" s="416" t="n">
        <v>1</v>
      </c>
      <c r="G67" s="416"/>
      <c r="H67" s="416"/>
      <c r="I67" s="431"/>
      <c r="J67" s="431"/>
      <c r="K67" s="431" t="str">
        <f aca="false">J66&amp;".1"</f>
        <v>1.2.1.1.1.1</v>
      </c>
      <c r="L67" s="417"/>
      <c r="M67" s="51"/>
      <c r="N67" s="51"/>
      <c r="O67" s="51"/>
      <c r="P67" s="120"/>
      <c r="Q67" s="120"/>
      <c r="R67" s="435" t="n">
        <v>1</v>
      </c>
      <c r="S67" s="419" t="str">
        <f aca="false">$K67</f>
        <v>1.2.1.1.1.1</v>
      </c>
      <c r="T67" s="562" t="s">
        <v>562</v>
      </c>
      <c r="U67" s="421"/>
      <c r="V67" s="438"/>
      <c r="W67" s="438"/>
      <c r="X67" s="438"/>
      <c r="Y67" s="438"/>
      <c r="Z67" s="438"/>
      <c r="AA67" s="438"/>
      <c r="AB67" s="438"/>
      <c r="AC67" s="441"/>
      <c r="AD67" s="203" t="s">
        <v>63</v>
      </c>
      <c r="AE67" s="441"/>
      <c r="AF67" s="203" t="s">
        <v>63</v>
      </c>
      <c r="AG67" s="438"/>
      <c r="AH67" s="438" t="n">
        <v>54.29</v>
      </c>
      <c r="AI67" s="438"/>
      <c r="AJ67" s="438"/>
      <c r="AK67" s="438" t="n">
        <v>2485.65</v>
      </c>
      <c r="AL67" s="438"/>
      <c r="AM67" s="438"/>
      <c r="AN67" s="441" t="n">
        <v>45292.7093518519</v>
      </c>
      <c r="AO67" s="203" t="s">
        <v>63</v>
      </c>
      <c r="AP67" s="441" t="n">
        <v>45473.7094560185</v>
      </c>
      <c r="AQ67" s="203" t="s">
        <v>63</v>
      </c>
      <c r="AR67" s="438"/>
      <c r="AS67" s="438" t="n">
        <v>60.94</v>
      </c>
      <c r="AT67" s="438"/>
      <c r="AU67" s="438"/>
      <c r="AV67" s="438" t="n">
        <v>2745.14</v>
      </c>
      <c r="AW67" s="438"/>
      <c r="AX67" s="438"/>
      <c r="AY67" s="441" t="n">
        <v>45474.7096527778</v>
      </c>
      <c r="AZ67" s="203" t="s">
        <v>63</v>
      </c>
      <c r="BA67" s="441" t="n">
        <v>45657.7098148148</v>
      </c>
      <c r="BB67" s="203" t="s">
        <v>63</v>
      </c>
      <c r="BC67" s="438"/>
      <c r="BD67" s="438" t="n">
        <v>54.22</v>
      </c>
      <c r="BE67" s="438"/>
      <c r="BF67" s="438"/>
      <c r="BG67" s="438" t="n">
        <f aca="false">AV67</f>
        <v>2745.14</v>
      </c>
      <c r="BH67" s="438"/>
      <c r="BI67" s="438"/>
      <c r="BJ67" s="441" t="n">
        <v>45658.7101736111</v>
      </c>
      <c r="BK67" s="203" t="s">
        <v>63</v>
      </c>
      <c r="BL67" s="441" t="n">
        <v>45838.7109375</v>
      </c>
      <c r="BM67" s="203" t="s">
        <v>63</v>
      </c>
      <c r="BN67" s="438"/>
      <c r="BO67" s="438" t="n">
        <v>56.06</v>
      </c>
      <c r="BP67" s="438"/>
      <c r="BQ67" s="438"/>
      <c r="BR67" s="438" t="n">
        <v>2808.77</v>
      </c>
      <c r="BS67" s="438"/>
      <c r="BT67" s="438"/>
      <c r="BU67" s="441" t="n">
        <v>45839.7115046296</v>
      </c>
      <c r="BV67" s="203" t="s">
        <v>63</v>
      </c>
      <c r="BW67" s="441" t="n">
        <v>46022.711724537</v>
      </c>
      <c r="BX67" s="203" t="s">
        <v>63</v>
      </c>
      <c r="BY67" s="438"/>
      <c r="BZ67" s="438" t="n">
        <v>56.06</v>
      </c>
      <c r="CA67" s="438"/>
      <c r="CB67" s="438"/>
      <c r="CC67" s="438" t="n">
        <v>2808.77</v>
      </c>
      <c r="CD67" s="438"/>
      <c r="CE67" s="438"/>
      <c r="CF67" s="441" t="n">
        <v>46023.7120486111</v>
      </c>
      <c r="CG67" s="203" t="s">
        <v>63</v>
      </c>
      <c r="CH67" s="441" t="n">
        <v>46203.7447569444</v>
      </c>
      <c r="CI67" s="203" t="s">
        <v>63</v>
      </c>
      <c r="CJ67" s="438"/>
      <c r="CK67" s="438" t="n">
        <v>58.58</v>
      </c>
      <c r="CL67" s="438"/>
      <c r="CM67" s="438"/>
      <c r="CN67" s="438" t="n">
        <v>2895.67</v>
      </c>
      <c r="CO67" s="438"/>
      <c r="CP67" s="438"/>
      <c r="CQ67" s="441" t="n">
        <v>46204.7450810185</v>
      </c>
      <c r="CR67" s="203" t="s">
        <v>63</v>
      </c>
      <c r="CS67" s="441" t="n">
        <v>46387.7453009259</v>
      </c>
      <c r="CT67" s="203" t="s">
        <v>63</v>
      </c>
      <c r="CU67" s="438"/>
      <c r="CV67" s="438" t="n">
        <v>58.58</v>
      </c>
      <c r="CW67" s="438"/>
      <c r="CX67" s="438"/>
      <c r="CY67" s="438" t="n">
        <v>2895.67</v>
      </c>
      <c r="CZ67" s="438"/>
      <c r="DA67" s="438"/>
      <c r="DB67" s="441" t="n">
        <v>46388.7456365741</v>
      </c>
      <c r="DC67" s="203" t="s">
        <v>63</v>
      </c>
      <c r="DD67" s="441" t="n">
        <v>46568.7460069444</v>
      </c>
      <c r="DE67" s="203" t="s">
        <v>63</v>
      </c>
      <c r="DF67" s="438"/>
      <c r="DG67" s="438" t="n">
        <v>61.22</v>
      </c>
      <c r="DH67" s="438"/>
      <c r="DI67" s="438"/>
      <c r="DJ67" s="438" t="n">
        <v>3071.99</v>
      </c>
      <c r="DK67" s="438"/>
      <c r="DL67" s="438"/>
      <c r="DM67" s="441" t="n">
        <v>46569.7465393519</v>
      </c>
      <c r="DN67" s="203" t="s">
        <v>63</v>
      </c>
      <c r="DO67" s="441" t="n">
        <v>46752.7467824074</v>
      </c>
      <c r="DP67" s="203" t="s">
        <v>63</v>
      </c>
      <c r="DQ67" s="438"/>
      <c r="DR67" s="438" t="n">
        <v>61.22</v>
      </c>
      <c r="DS67" s="438"/>
      <c r="DT67" s="438"/>
      <c r="DU67" s="438" t="n">
        <v>3071.99</v>
      </c>
      <c r="DV67" s="438"/>
      <c r="DW67" s="438"/>
      <c r="DX67" s="441" t="n">
        <v>46753.7470601852</v>
      </c>
      <c r="DY67" s="203" t="s">
        <v>63</v>
      </c>
      <c r="DZ67" s="441" t="n">
        <v>46934.7472916667</v>
      </c>
      <c r="EA67" s="203" t="s">
        <v>63</v>
      </c>
      <c r="EB67" s="438"/>
      <c r="EC67" s="438" t="n">
        <v>63.97</v>
      </c>
      <c r="ED67" s="438"/>
      <c r="EE67" s="438"/>
      <c r="EF67" s="438" t="n">
        <v>3135.82</v>
      </c>
      <c r="EG67" s="438"/>
      <c r="EH67" s="438"/>
      <c r="EI67" s="441" t="n">
        <v>46935.7475810185</v>
      </c>
      <c r="EJ67" s="203" t="s">
        <v>63</v>
      </c>
      <c r="EK67" s="441" t="n">
        <v>47118.7478009259</v>
      </c>
      <c r="EL67" s="203" t="s">
        <v>63</v>
      </c>
      <c r="EM67" s="563"/>
      <c r="EN67" s="56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67" s="47" t="e">
        <f aca="false">strcheckdate(V68:EM68)</f>
        <v>#NAME?</v>
      </c>
      <c r="EP67" s="117"/>
      <c r="EQ67" s="117" t="str">
        <f aca="false">IF(T67="","",T67)</f>
        <v>От РК-7 через тепловые сети МУП "Расчетно- кассовый центр"</v>
      </c>
      <c r="ER67" s="117"/>
      <c r="ES67" s="117"/>
    </row>
    <row r="68" s="53" customFormat="true" ht="14.25" hidden="false" customHeight="true" outlineLevel="0" collapsed="false">
      <c r="A68" s="415"/>
      <c r="B68" s="415"/>
      <c r="C68" s="415"/>
      <c r="D68" s="415"/>
      <c r="E68" s="416"/>
      <c r="F68" s="416" t="n">
        <v>1</v>
      </c>
      <c r="G68" s="416"/>
      <c r="H68" s="416"/>
      <c r="I68" s="431"/>
      <c r="J68" s="431"/>
      <c r="K68" s="431"/>
      <c r="L68" s="417"/>
      <c r="M68" s="51"/>
      <c r="N68" s="51"/>
      <c r="O68" s="51"/>
      <c r="P68" s="120"/>
      <c r="Q68" s="120"/>
      <c r="R68" s="435"/>
      <c r="S68" s="396"/>
      <c r="T68" s="421"/>
      <c r="U68" s="421"/>
      <c r="V68" s="439"/>
      <c r="W68" s="439"/>
      <c r="X68" s="439"/>
      <c r="Y68" s="439"/>
      <c r="Z68" s="439"/>
      <c r="AA68" s="439"/>
      <c r="AB68" s="439"/>
      <c r="AC68" s="441"/>
      <c r="AD68" s="203"/>
      <c r="AE68" s="441"/>
      <c r="AF68" s="203"/>
      <c r="AG68" s="439"/>
      <c r="AH68" s="439"/>
      <c r="AI68" s="439"/>
      <c r="AJ68" s="439"/>
      <c r="AK68" s="439"/>
      <c r="AL68" s="439"/>
      <c r="AM68" s="439"/>
      <c r="AN68" s="441"/>
      <c r="AO68" s="203"/>
      <c r="AP68" s="441"/>
      <c r="AQ68" s="203"/>
      <c r="AR68" s="439"/>
      <c r="AS68" s="439"/>
      <c r="AT68" s="439"/>
      <c r="AU68" s="439"/>
      <c r="AV68" s="439"/>
      <c r="AW68" s="439"/>
      <c r="AX68" s="439"/>
      <c r="AY68" s="441"/>
      <c r="AZ68" s="203"/>
      <c r="BA68" s="441"/>
      <c r="BB68" s="203"/>
      <c r="BC68" s="439"/>
      <c r="BD68" s="439"/>
      <c r="BE68" s="439"/>
      <c r="BF68" s="439"/>
      <c r="BG68" s="439"/>
      <c r="BH68" s="439"/>
      <c r="BI68" s="439"/>
      <c r="BJ68" s="441"/>
      <c r="BK68" s="203"/>
      <c r="BL68" s="441"/>
      <c r="BM68" s="203"/>
      <c r="BN68" s="439"/>
      <c r="BO68" s="439"/>
      <c r="BP68" s="439"/>
      <c r="BQ68" s="439"/>
      <c r="BR68" s="439"/>
      <c r="BS68" s="439"/>
      <c r="BT68" s="439"/>
      <c r="BU68" s="441"/>
      <c r="BV68" s="203"/>
      <c r="BW68" s="441"/>
      <c r="BX68" s="203"/>
      <c r="BY68" s="439"/>
      <c r="BZ68" s="439"/>
      <c r="CA68" s="439"/>
      <c r="CB68" s="439"/>
      <c r="CC68" s="439"/>
      <c r="CD68" s="439"/>
      <c r="CE68" s="439"/>
      <c r="CF68" s="441"/>
      <c r="CG68" s="203"/>
      <c r="CH68" s="441"/>
      <c r="CI68" s="203"/>
      <c r="CJ68" s="439"/>
      <c r="CK68" s="439"/>
      <c r="CL68" s="439"/>
      <c r="CM68" s="439"/>
      <c r="CN68" s="439"/>
      <c r="CO68" s="439"/>
      <c r="CP68" s="439"/>
      <c r="CQ68" s="441"/>
      <c r="CR68" s="203"/>
      <c r="CS68" s="441"/>
      <c r="CT68" s="203"/>
      <c r="CU68" s="439"/>
      <c r="CV68" s="439"/>
      <c r="CW68" s="439"/>
      <c r="CX68" s="439"/>
      <c r="CY68" s="439"/>
      <c r="CZ68" s="439"/>
      <c r="DA68" s="439"/>
      <c r="DB68" s="441"/>
      <c r="DC68" s="203"/>
      <c r="DD68" s="441"/>
      <c r="DE68" s="203"/>
      <c r="DF68" s="439"/>
      <c r="DG68" s="439"/>
      <c r="DH68" s="439"/>
      <c r="DI68" s="439"/>
      <c r="DJ68" s="439"/>
      <c r="DK68" s="439"/>
      <c r="DL68" s="439"/>
      <c r="DM68" s="441"/>
      <c r="DN68" s="203"/>
      <c r="DO68" s="441"/>
      <c r="DP68" s="203"/>
      <c r="DQ68" s="439"/>
      <c r="DR68" s="439"/>
      <c r="DS68" s="439"/>
      <c r="DT68" s="439"/>
      <c r="DU68" s="439"/>
      <c r="DV68" s="439"/>
      <c r="DW68" s="439"/>
      <c r="DX68" s="441"/>
      <c r="DY68" s="203"/>
      <c r="DZ68" s="441"/>
      <c r="EA68" s="203"/>
      <c r="EB68" s="439"/>
      <c r="EC68" s="439"/>
      <c r="ED68" s="439"/>
      <c r="EE68" s="439"/>
      <c r="EF68" s="439"/>
      <c r="EG68" s="439"/>
      <c r="EH68" s="439"/>
      <c r="EI68" s="441"/>
      <c r="EJ68" s="203"/>
      <c r="EK68" s="441"/>
      <c r="EL68" s="203"/>
      <c r="EM68" s="565"/>
      <c r="EN68" s="564"/>
      <c r="EO68" s="47"/>
      <c r="EP68" s="117"/>
      <c r="EQ68" s="117" t="str">
        <f aca="false">IF(T68="","",T68)</f>
        <v/>
      </c>
      <c r="ER68" s="117"/>
      <c r="ES68" s="117"/>
    </row>
    <row r="69" s="53" customFormat="true" ht="21" hidden="false" customHeight="true" outlineLevel="0" collapsed="false">
      <c r="A69" s="415"/>
      <c r="B69" s="415"/>
      <c r="C69" s="415"/>
      <c r="D69" s="415"/>
      <c r="E69" s="416"/>
      <c r="F69" s="416" t="n">
        <v>1</v>
      </c>
      <c r="G69" s="416"/>
      <c r="H69" s="416"/>
      <c r="I69" s="431"/>
      <c r="J69" s="431"/>
      <c r="K69" s="415"/>
      <c r="L69" s="417"/>
      <c r="M69" s="51"/>
      <c r="N69" s="51"/>
      <c r="O69" s="51"/>
      <c r="P69" s="120"/>
      <c r="Q69" s="120"/>
      <c r="R69" s="432"/>
      <c r="S69" s="444"/>
      <c r="T69" s="447" t="s">
        <v>500</v>
      </c>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193"/>
      <c r="AZ69" s="193"/>
      <c r="BA69" s="193"/>
      <c r="BB69" s="193"/>
      <c r="BC69" s="193"/>
      <c r="BD69" s="193"/>
      <c r="BE69" s="193"/>
      <c r="BF69" s="193"/>
      <c r="BG69" s="193"/>
      <c r="BH69" s="193"/>
      <c r="BI69" s="193"/>
      <c r="BJ69" s="193"/>
      <c r="BK69" s="193"/>
      <c r="BL69" s="193"/>
      <c r="BM69" s="193"/>
      <c r="BN69" s="193"/>
      <c r="BO69" s="193"/>
      <c r="BP69" s="193"/>
      <c r="BQ69" s="193"/>
      <c r="BR69" s="193"/>
      <c r="BS69" s="193"/>
      <c r="BT69" s="193"/>
      <c r="BU69" s="193"/>
      <c r="BV69" s="193"/>
      <c r="BW69" s="193"/>
      <c r="BX69" s="193"/>
      <c r="BY69" s="193"/>
      <c r="BZ69" s="193"/>
      <c r="CA69" s="193"/>
      <c r="CB69" s="193"/>
      <c r="CC69" s="193"/>
      <c r="CD69" s="193"/>
      <c r="CE69" s="193"/>
      <c r="CF69" s="193"/>
      <c r="CG69" s="193"/>
      <c r="CH69" s="193"/>
      <c r="CI69" s="193"/>
      <c r="CJ69" s="193"/>
      <c r="CK69" s="193"/>
      <c r="CL69" s="193"/>
      <c r="CM69" s="193"/>
      <c r="CN69" s="193"/>
      <c r="CO69" s="193"/>
      <c r="CP69" s="193"/>
      <c r="CQ69" s="193"/>
      <c r="CR69" s="193"/>
      <c r="CS69" s="193"/>
      <c r="CT69" s="193"/>
      <c r="CU69" s="193"/>
      <c r="CV69" s="193"/>
      <c r="CW69" s="193"/>
      <c r="CX69" s="193"/>
      <c r="CY69" s="193"/>
      <c r="CZ69" s="193"/>
      <c r="DA69" s="193"/>
      <c r="DB69" s="193"/>
      <c r="DC69" s="193"/>
      <c r="DD69" s="193"/>
      <c r="DE69" s="193"/>
      <c r="DF69" s="193"/>
      <c r="DG69" s="193"/>
      <c r="DH69" s="193"/>
      <c r="DI69" s="193"/>
      <c r="DJ69" s="193"/>
      <c r="DK69" s="193"/>
      <c r="DL69" s="193"/>
      <c r="DM69" s="193"/>
      <c r="DN69" s="193"/>
      <c r="DO69" s="193"/>
      <c r="DP69" s="193"/>
      <c r="DQ69" s="193"/>
      <c r="DR69" s="193"/>
      <c r="DS69" s="193"/>
      <c r="DT69" s="193"/>
      <c r="DU69" s="193"/>
      <c r="DV69" s="193"/>
      <c r="DW69" s="193"/>
      <c r="DX69" s="193"/>
      <c r="DY69" s="193"/>
      <c r="DZ69" s="193"/>
      <c r="EA69" s="193"/>
      <c r="EB69" s="193"/>
      <c r="EC69" s="193"/>
      <c r="ED69" s="193"/>
      <c r="EE69" s="193"/>
      <c r="EF69" s="193"/>
      <c r="EG69" s="193"/>
      <c r="EH69" s="193"/>
      <c r="EI69" s="193"/>
      <c r="EJ69" s="193"/>
      <c r="EK69" s="193"/>
      <c r="EL69" s="193"/>
      <c r="EM69" s="193"/>
      <c r="EN69" s="424" t="s">
        <v>501</v>
      </c>
      <c r="EO69" s="47"/>
      <c r="EP69" s="117"/>
      <c r="EQ69" s="117" t="str">
        <f aca="false">IF(T69="","",T69)</f>
        <v>Добавить значение признака дифференциации</v>
      </c>
      <c r="ER69" s="117"/>
      <c r="ES69" s="117"/>
    </row>
    <row r="70" s="53" customFormat="true" ht="23.25" hidden="false" customHeight="true" outlineLevel="0" collapsed="false">
      <c r="A70" s="415"/>
      <c r="B70" s="415"/>
      <c r="C70" s="415"/>
      <c r="D70" s="415"/>
      <c r="E70" s="416"/>
      <c r="F70" s="416"/>
      <c r="G70" s="416"/>
      <c r="H70" s="416"/>
      <c r="I70" s="431"/>
      <c r="J70" s="431" t="str">
        <f aca="false">I65&amp;".2"</f>
        <v>1.2.1.1.2</v>
      </c>
      <c r="K70" s="415"/>
      <c r="L70" s="417" t="s">
        <v>422</v>
      </c>
      <c r="M70" s="51"/>
      <c r="N70" s="51"/>
      <c r="O70" s="51"/>
      <c r="P70" s="120"/>
      <c r="Q70" s="137" t="s">
        <v>100</v>
      </c>
      <c r="R70" s="435"/>
      <c r="S70" s="419" t="str">
        <f aca="false">$J70</f>
        <v>1.2.1.1.2</v>
      </c>
      <c r="T70" s="436" t="s">
        <v>423</v>
      </c>
      <c r="U70" s="421"/>
      <c r="V70" s="434"/>
      <c r="W70" s="434"/>
      <c r="X70" s="434"/>
      <c r="Y70" s="434"/>
      <c r="Z70" s="434"/>
      <c r="AA70" s="434"/>
      <c r="AB70" s="434"/>
      <c r="AC70" s="434"/>
      <c r="AD70" s="434"/>
      <c r="AE70" s="434"/>
      <c r="AF70" s="434"/>
      <c r="AG70" s="434" t="s">
        <v>561</v>
      </c>
      <c r="AH70" s="434"/>
      <c r="AI70" s="434"/>
      <c r="AJ70" s="434"/>
      <c r="AK70" s="434"/>
      <c r="AL70" s="434"/>
      <c r="AM70" s="434"/>
      <c r="AN70" s="434"/>
      <c r="AO70" s="434"/>
      <c r="AP70" s="434"/>
      <c r="AQ70" s="434"/>
      <c r="AR70" s="434"/>
      <c r="AS70" s="434"/>
      <c r="AT70" s="434"/>
      <c r="AU70" s="434"/>
      <c r="AV70" s="434"/>
      <c r="AW70" s="434"/>
      <c r="AX70" s="434"/>
      <c r="AY70" s="434"/>
      <c r="AZ70" s="434"/>
      <c r="BA70" s="434"/>
      <c r="BB70" s="434"/>
      <c r="BC70" s="434"/>
      <c r="BD70" s="434"/>
      <c r="BE70" s="434"/>
      <c r="BF70" s="434"/>
      <c r="BG70" s="434"/>
      <c r="BH70" s="434"/>
      <c r="BI70" s="434"/>
      <c r="BJ70" s="434"/>
      <c r="BK70" s="434"/>
      <c r="BL70" s="434"/>
      <c r="BM70" s="434"/>
      <c r="BN70" s="434"/>
      <c r="BO70" s="434"/>
      <c r="BP70" s="434"/>
      <c r="BQ70" s="434"/>
      <c r="BR70" s="434"/>
      <c r="BS70" s="434"/>
      <c r="BT70" s="434"/>
      <c r="BU70" s="434"/>
      <c r="BV70" s="434"/>
      <c r="BW70" s="434"/>
      <c r="BX70" s="434"/>
      <c r="BY70" s="434"/>
      <c r="BZ70" s="434"/>
      <c r="CA70" s="434"/>
      <c r="CB70" s="434"/>
      <c r="CC70" s="434"/>
      <c r="CD70" s="434"/>
      <c r="CE70" s="434"/>
      <c r="CF70" s="434"/>
      <c r="CG70" s="434"/>
      <c r="CH70" s="434"/>
      <c r="CI70" s="434"/>
      <c r="CJ70" s="434"/>
      <c r="CK70" s="434"/>
      <c r="CL70" s="434"/>
      <c r="CM70" s="434"/>
      <c r="CN70" s="434"/>
      <c r="CO70" s="434"/>
      <c r="CP70" s="434"/>
      <c r="CQ70" s="434"/>
      <c r="CR70" s="434"/>
      <c r="CS70" s="434"/>
      <c r="CT70" s="434"/>
      <c r="CU70" s="434"/>
      <c r="CV70" s="434"/>
      <c r="CW70" s="434"/>
      <c r="CX70" s="434"/>
      <c r="CY70" s="434"/>
      <c r="CZ70" s="434"/>
      <c r="DA70" s="434"/>
      <c r="DB70" s="434"/>
      <c r="DC70" s="434"/>
      <c r="DD70" s="434"/>
      <c r="DE70" s="434"/>
      <c r="DF70" s="434"/>
      <c r="DG70" s="434"/>
      <c r="DH70" s="434"/>
      <c r="DI70" s="434"/>
      <c r="DJ70" s="434"/>
      <c r="DK70" s="434"/>
      <c r="DL70" s="434"/>
      <c r="DM70" s="434"/>
      <c r="DN70" s="434"/>
      <c r="DO70" s="434"/>
      <c r="DP70" s="434"/>
      <c r="DQ70" s="434"/>
      <c r="DR70" s="434"/>
      <c r="DS70" s="434"/>
      <c r="DT70" s="434"/>
      <c r="DU70" s="434"/>
      <c r="DV70" s="434"/>
      <c r="DW70" s="434"/>
      <c r="DX70" s="434"/>
      <c r="DY70" s="434"/>
      <c r="DZ70" s="434"/>
      <c r="EA70" s="434"/>
      <c r="EB70" s="434"/>
      <c r="EC70" s="434"/>
      <c r="ED70" s="434"/>
      <c r="EE70" s="434"/>
      <c r="EF70" s="434"/>
      <c r="EG70" s="434"/>
      <c r="EH70" s="434"/>
      <c r="EI70" s="434"/>
      <c r="EJ70" s="434"/>
      <c r="EK70" s="434"/>
      <c r="EL70" s="434"/>
      <c r="EM70" s="434"/>
      <c r="EN70" s="514" t="s">
        <v>499</v>
      </c>
      <c r="EO70" s="47"/>
      <c r="EP70" s="117"/>
      <c r="EQ70" s="117" t="str">
        <f aca="false">IF(T70="","",T70)</f>
        <v>Группа потребителей</v>
      </c>
      <c r="ER70" s="117"/>
      <c r="ES70" s="117"/>
    </row>
    <row r="71" s="53" customFormat="true" ht="23.25" hidden="false" customHeight="true" outlineLevel="0" collapsed="false">
      <c r="A71" s="415"/>
      <c r="B71" s="415"/>
      <c r="C71" s="415"/>
      <c r="D71" s="415"/>
      <c r="E71" s="416"/>
      <c r="F71" s="416"/>
      <c r="G71" s="416"/>
      <c r="H71" s="416"/>
      <c r="I71" s="431"/>
      <c r="J71" s="431" t="str">
        <f aca="false">I65&amp;".1"</f>
        <v>1.2.1.1.1</v>
      </c>
      <c r="K71" s="431" t="str">
        <f aca="false">J70&amp;".1"</f>
        <v>1.2.1.1.2.1</v>
      </c>
      <c r="L71" s="417"/>
      <c r="M71" s="51"/>
      <c r="N71" s="51"/>
      <c r="O71" s="51"/>
      <c r="P71" s="120"/>
      <c r="Q71" s="120"/>
      <c r="R71" s="435" t="n">
        <v>1</v>
      </c>
      <c r="S71" s="419" t="str">
        <f aca="false">$K71</f>
        <v>1.2.1.1.2.1</v>
      </c>
      <c r="T71" s="562" t="s">
        <v>562</v>
      </c>
      <c r="U71" s="421"/>
      <c r="V71" s="438"/>
      <c r="W71" s="438"/>
      <c r="X71" s="438"/>
      <c r="Y71" s="438"/>
      <c r="Z71" s="438"/>
      <c r="AA71" s="438"/>
      <c r="AB71" s="438"/>
      <c r="AC71" s="441"/>
      <c r="AD71" s="203" t="s">
        <v>63</v>
      </c>
      <c r="AE71" s="441"/>
      <c r="AF71" s="203" t="s">
        <v>63</v>
      </c>
      <c r="AG71" s="438"/>
      <c r="AH71" s="438" t="n">
        <v>65.15</v>
      </c>
      <c r="AI71" s="438"/>
      <c r="AJ71" s="438"/>
      <c r="AK71" s="438" t="n">
        <v>2982.78</v>
      </c>
      <c r="AL71" s="438"/>
      <c r="AM71" s="438"/>
      <c r="AN71" s="441" t="n">
        <v>45292.7094097222</v>
      </c>
      <c r="AO71" s="203" t="s">
        <v>63</v>
      </c>
      <c r="AP71" s="441" t="n">
        <v>45473.709537037</v>
      </c>
      <c r="AQ71" s="203" t="s">
        <v>63</v>
      </c>
      <c r="AR71" s="438"/>
      <c r="AS71" s="438" t="n">
        <v>73.13</v>
      </c>
      <c r="AT71" s="438"/>
      <c r="AU71" s="438"/>
      <c r="AV71" s="438" t="n">
        <v>3294.17</v>
      </c>
      <c r="AW71" s="438"/>
      <c r="AX71" s="438"/>
      <c r="AY71" s="441" t="n">
        <v>45474.7097337963</v>
      </c>
      <c r="AZ71" s="203" t="s">
        <v>63</v>
      </c>
      <c r="BA71" s="441" t="n">
        <v>45657.71</v>
      </c>
      <c r="BB71" s="203" t="s">
        <v>63</v>
      </c>
      <c r="BC71" s="438"/>
      <c r="BD71" s="438" t="n">
        <v>65.06</v>
      </c>
      <c r="BE71" s="438"/>
      <c r="BF71" s="438"/>
      <c r="BG71" s="438" t="n">
        <f aca="false">AV71</f>
        <v>3294.17</v>
      </c>
      <c r="BH71" s="438"/>
      <c r="BI71" s="438"/>
      <c r="BJ71" s="441" t="n">
        <v>45658.7102777778</v>
      </c>
      <c r="BK71" s="203" t="s">
        <v>63</v>
      </c>
      <c r="BL71" s="441" t="n">
        <v>45838.7111921296</v>
      </c>
      <c r="BM71" s="203" t="s">
        <v>63</v>
      </c>
      <c r="BN71" s="438"/>
      <c r="BO71" s="438" t="n">
        <v>67.27</v>
      </c>
      <c r="BP71" s="438"/>
      <c r="BQ71" s="438"/>
      <c r="BR71" s="438" t="n">
        <v>3370.52</v>
      </c>
      <c r="BS71" s="438"/>
      <c r="BT71" s="438"/>
      <c r="BU71" s="441" t="n">
        <v>45839.7116087963</v>
      </c>
      <c r="BV71" s="203" t="s">
        <v>63</v>
      </c>
      <c r="BW71" s="441" t="n">
        <v>46022.7118865741</v>
      </c>
      <c r="BX71" s="203" t="s">
        <v>63</v>
      </c>
      <c r="BY71" s="438"/>
      <c r="BZ71" s="438" t="n">
        <v>67.27</v>
      </c>
      <c r="CA71" s="438"/>
      <c r="CB71" s="438"/>
      <c r="CC71" s="438" t="n">
        <v>3370.52</v>
      </c>
      <c r="CD71" s="438"/>
      <c r="CE71" s="438"/>
      <c r="CF71" s="441" t="n">
        <v>46023.7121412037</v>
      </c>
      <c r="CG71" s="203" t="s">
        <v>63</v>
      </c>
      <c r="CH71" s="441" t="n">
        <v>46203.7448958333</v>
      </c>
      <c r="CI71" s="203" t="s">
        <v>63</v>
      </c>
      <c r="CJ71" s="438"/>
      <c r="CK71" s="438" t="n">
        <v>70.3</v>
      </c>
      <c r="CL71" s="438"/>
      <c r="CM71" s="438"/>
      <c r="CN71" s="438" t="n">
        <v>3474.8</v>
      </c>
      <c r="CO71" s="438"/>
      <c r="CP71" s="438"/>
      <c r="CQ71" s="441" t="n">
        <v>46204.7451967593</v>
      </c>
      <c r="CR71" s="203" t="s">
        <v>63</v>
      </c>
      <c r="CS71" s="441" t="n">
        <v>46387.7454398148</v>
      </c>
      <c r="CT71" s="203" t="s">
        <v>63</v>
      </c>
      <c r="CU71" s="438"/>
      <c r="CV71" s="438" t="n">
        <v>70.3</v>
      </c>
      <c r="CW71" s="438"/>
      <c r="CX71" s="438"/>
      <c r="CY71" s="438" t="n">
        <v>3474.8</v>
      </c>
      <c r="CZ71" s="438"/>
      <c r="DA71" s="438"/>
      <c r="DB71" s="441" t="n">
        <v>46388.7457638889</v>
      </c>
      <c r="DC71" s="203" t="s">
        <v>63</v>
      </c>
      <c r="DD71" s="441" t="n">
        <v>46568.7461111111</v>
      </c>
      <c r="DE71" s="203" t="s">
        <v>63</v>
      </c>
      <c r="DF71" s="438"/>
      <c r="DG71" s="438" t="n">
        <v>73.46</v>
      </c>
      <c r="DH71" s="438"/>
      <c r="DI71" s="438"/>
      <c r="DJ71" s="438" t="n">
        <v>3686.39</v>
      </c>
      <c r="DK71" s="438"/>
      <c r="DL71" s="438"/>
      <c r="DM71" s="441" t="n">
        <v>46569.7466550926</v>
      </c>
      <c r="DN71" s="203" t="s">
        <v>63</v>
      </c>
      <c r="DO71" s="441" t="n">
        <v>46752.7469097222</v>
      </c>
      <c r="DP71" s="203" t="s">
        <v>63</v>
      </c>
      <c r="DQ71" s="438"/>
      <c r="DR71" s="438" t="n">
        <v>73.46</v>
      </c>
      <c r="DS71" s="438"/>
      <c r="DT71" s="438"/>
      <c r="DU71" s="438" t="n">
        <v>3686.39</v>
      </c>
      <c r="DV71" s="438"/>
      <c r="DW71" s="438"/>
      <c r="DX71" s="441" t="n">
        <v>46753.7471412037</v>
      </c>
      <c r="DY71" s="203" t="s">
        <v>63</v>
      </c>
      <c r="DZ71" s="441" t="n">
        <v>46934.7473958333</v>
      </c>
      <c r="EA71" s="203" t="s">
        <v>63</v>
      </c>
      <c r="EB71" s="438"/>
      <c r="EC71" s="438" t="n">
        <v>76.76</v>
      </c>
      <c r="ED71" s="438"/>
      <c r="EE71" s="438"/>
      <c r="EF71" s="438" t="n">
        <v>3762.98</v>
      </c>
      <c r="EG71" s="438"/>
      <c r="EH71" s="438"/>
      <c r="EI71" s="441" t="n">
        <v>46935.7476967593</v>
      </c>
      <c r="EJ71" s="203" t="s">
        <v>63</v>
      </c>
      <c r="EK71" s="441" t="n">
        <v>47118.7478935185</v>
      </c>
      <c r="EL71" s="203" t="s">
        <v>63</v>
      </c>
      <c r="EM71" s="563"/>
      <c r="EN71" s="56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71" s="47" t="e">
        <f aca="false">strcheckdate(V72:EM72)</f>
        <v>#NAME?</v>
      </c>
      <c r="EP71" s="117"/>
      <c r="EQ71" s="117" t="str">
        <f aca="false">IF(T71="","",T71)</f>
        <v>От РК-7 через тепловые сети МУП "Расчетно- кассовый центр"</v>
      </c>
      <c r="ER71" s="117"/>
      <c r="ES71" s="117"/>
    </row>
    <row r="72" s="53" customFormat="true" ht="14.25" hidden="false" customHeight="true" outlineLevel="0" collapsed="false">
      <c r="A72" s="415"/>
      <c r="B72" s="415"/>
      <c r="C72" s="415"/>
      <c r="D72" s="415"/>
      <c r="E72" s="416"/>
      <c r="F72" s="416"/>
      <c r="G72" s="416"/>
      <c r="H72" s="416"/>
      <c r="I72" s="431"/>
      <c r="J72" s="431" t="str">
        <f aca="false">I65&amp;".1"</f>
        <v>1.2.1.1.1</v>
      </c>
      <c r="K72" s="431"/>
      <c r="L72" s="417"/>
      <c r="M72" s="51"/>
      <c r="N72" s="51"/>
      <c r="O72" s="51"/>
      <c r="P72" s="120"/>
      <c r="Q72" s="120"/>
      <c r="R72" s="435"/>
      <c r="S72" s="396"/>
      <c r="T72" s="421"/>
      <c r="U72" s="421"/>
      <c r="V72" s="439"/>
      <c r="W72" s="439"/>
      <c r="X72" s="439"/>
      <c r="Y72" s="439"/>
      <c r="Z72" s="439"/>
      <c r="AA72" s="439"/>
      <c r="AB72" s="439"/>
      <c r="AC72" s="441"/>
      <c r="AD72" s="203"/>
      <c r="AE72" s="441"/>
      <c r="AF72" s="203"/>
      <c r="AG72" s="439"/>
      <c r="AH72" s="439"/>
      <c r="AI72" s="439"/>
      <c r="AJ72" s="439"/>
      <c r="AK72" s="439"/>
      <c r="AL72" s="439"/>
      <c r="AM72" s="439"/>
      <c r="AN72" s="441"/>
      <c r="AO72" s="203"/>
      <c r="AP72" s="441"/>
      <c r="AQ72" s="203"/>
      <c r="AR72" s="439"/>
      <c r="AS72" s="439"/>
      <c r="AT72" s="439"/>
      <c r="AU72" s="439"/>
      <c r="AV72" s="439"/>
      <c r="AW72" s="439"/>
      <c r="AX72" s="439"/>
      <c r="AY72" s="441"/>
      <c r="AZ72" s="203"/>
      <c r="BA72" s="441"/>
      <c r="BB72" s="203"/>
      <c r="BC72" s="439"/>
      <c r="BD72" s="439"/>
      <c r="BE72" s="439"/>
      <c r="BF72" s="439"/>
      <c r="BG72" s="439"/>
      <c r="BH72" s="439"/>
      <c r="BI72" s="439"/>
      <c r="BJ72" s="441"/>
      <c r="BK72" s="203"/>
      <c r="BL72" s="441"/>
      <c r="BM72" s="203"/>
      <c r="BN72" s="439"/>
      <c r="BO72" s="439"/>
      <c r="BP72" s="439"/>
      <c r="BQ72" s="439"/>
      <c r="BR72" s="439"/>
      <c r="BS72" s="439"/>
      <c r="BT72" s="439"/>
      <c r="BU72" s="441"/>
      <c r="BV72" s="203"/>
      <c r="BW72" s="441"/>
      <c r="BX72" s="203"/>
      <c r="BY72" s="439"/>
      <c r="BZ72" s="439"/>
      <c r="CA72" s="439"/>
      <c r="CB72" s="439"/>
      <c r="CC72" s="439"/>
      <c r="CD72" s="439"/>
      <c r="CE72" s="439"/>
      <c r="CF72" s="441"/>
      <c r="CG72" s="203"/>
      <c r="CH72" s="441"/>
      <c r="CI72" s="203"/>
      <c r="CJ72" s="439"/>
      <c r="CK72" s="439"/>
      <c r="CL72" s="439"/>
      <c r="CM72" s="439"/>
      <c r="CN72" s="439"/>
      <c r="CO72" s="439"/>
      <c r="CP72" s="439"/>
      <c r="CQ72" s="441"/>
      <c r="CR72" s="203"/>
      <c r="CS72" s="441"/>
      <c r="CT72" s="203"/>
      <c r="CU72" s="439"/>
      <c r="CV72" s="439"/>
      <c r="CW72" s="439"/>
      <c r="CX72" s="439"/>
      <c r="CY72" s="439"/>
      <c r="CZ72" s="439"/>
      <c r="DA72" s="439"/>
      <c r="DB72" s="441"/>
      <c r="DC72" s="203"/>
      <c r="DD72" s="441"/>
      <c r="DE72" s="203"/>
      <c r="DF72" s="439"/>
      <c r="DG72" s="439"/>
      <c r="DH72" s="439"/>
      <c r="DI72" s="439"/>
      <c r="DJ72" s="439"/>
      <c r="DK72" s="439"/>
      <c r="DL72" s="439"/>
      <c r="DM72" s="441"/>
      <c r="DN72" s="203"/>
      <c r="DO72" s="441"/>
      <c r="DP72" s="203"/>
      <c r="DQ72" s="439"/>
      <c r="DR72" s="439"/>
      <c r="DS72" s="439"/>
      <c r="DT72" s="439"/>
      <c r="DU72" s="439"/>
      <c r="DV72" s="439"/>
      <c r="DW72" s="439"/>
      <c r="DX72" s="441"/>
      <c r="DY72" s="203"/>
      <c r="DZ72" s="441"/>
      <c r="EA72" s="203"/>
      <c r="EB72" s="439"/>
      <c r="EC72" s="439"/>
      <c r="ED72" s="439"/>
      <c r="EE72" s="439"/>
      <c r="EF72" s="439"/>
      <c r="EG72" s="439"/>
      <c r="EH72" s="439"/>
      <c r="EI72" s="441"/>
      <c r="EJ72" s="203"/>
      <c r="EK72" s="441"/>
      <c r="EL72" s="203"/>
      <c r="EM72" s="565"/>
      <c r="EN72" s="564"/>
      <c r="EO72" s="47"/>
      <c r="EP72" s="117"/>
      <c r="EQ72" s="117" t="str">
        <f aca="false">IF(T72="","",T72)</f>
        <v/>
      </c>
      <c r="ER72" s="117"/>
      <c r="ES72" s="117"/>
    </row>
    <row r="73" s="53" customFormat="true" ht="21" hidden="false" customHeight="true" outlineLevel="0" collapsed="false">
      <c r="A73" s="415"/>
      <c r="B73" s="415"/>
      <c r="C73" s="415"/>
      <c r="D73" s="415"/>
      <c r="E73" s="416"/>
      <c r="F73" s="416"/>
      <c r="G73" s="416"/>
      <c r="H73" s="416"/>
      <c r="I73" s="431"/>
      <c r="J73" s="431" t="str">
        <f aca="false">I65&amp;".1"</f>
        <v>1.2.1.1.1</v>
      </c>
      <c r="K73" s="415"/>
      <c r="L73" s="417"/>
      <c r="M73" s="51"/>
      <c r="N73" s="51"/>
      <c r="O73" s="51"/>
      <c r="P73" s="120"/>
      <c r="Q73" s="120"/>
      <c r="R73" s="432"/>
      <c r="S73" s="444"/>
      <c r="T73" s="447" t="s">
        <v>500</v>
      </c>
      <c r="U73" s="193"/>
      <c r="V73" s="193"/>
      <c r="W73" s="193"/>
      <c r="X73" s="193"/>
      <c r="Y73" s="193"/>
      <c r="Z73" s="193"/>
      <c r="AA73" s="193"/>
      <c r="AB73" s="193"/>
      <c r="AC73" s="193"/>
      <c r="AD73" s="193"/>
      <c r="AE73" s="193"/>
      <c r="AF73" s="193"/>
      <c r="AG73" s="193"/>
      <c r="AH73" s="193"/>
      <c r="AI73" s="193"/>
      <c r="AJ73" s="193"/>
      <c r="AK73" s="193"/>
      <c r="AL73" s="193"/>
      <c r="AM73" s="193"/>
      <c r="AN73" s="193"/>
      <c r="AO73" s="193"/>
      <c r="AP73" s="193"/>
      <c r="AQ73" s="193"/>
      <c r="AR73" s="193"/>
      <c r="AS73" s="193"/>
      <c r="AT73" s="193"/>
      <c r="AU73" s="193"/>
      <c r="AV73" s="193"/>
      <c r="AW73" s="193"/>
      <c r="AX73" s="193"/>
      <c r="AY73" s="193"/>
      <c r="AZ73" s="193"/>
      <c r="BA73" s="193"/>
      <c r="BB73" s="193"/>
      <c r="BC73" s="193"/>
      <c r="BD73" s="193"/>
      <c r="BE73" s="193"/>
      <c r="BF73" s="193"/>
      <c r="BG73" s="193"/>
      <c r="BH73" s="193"/>
      <c r="BI73" s="193"/>
      <c r="BJ73" s="193"/>
      <c r="BK73" s="193"/>
      <c r="BL73" s="193"/>
      <c r="BM73" s="193"/>
      <c r="BN73" s="193"/>
      <c r="BO73" s="193"/>
      <c r="BP73" s="193"/>
      <c r="BQ73" s="193"/>
      <c r="BR73" s="193"/>
      <c r="BS73" s="193"/>
      <c r="BT73" s="193"/>
      <c r="BU73" s="193"/>
      <c r="BV73" s="193"/>
      <c r="BW73" s="193"/>
      <c r="BX73" s="193"/>
      <c r="BY73" s="193"/>
      <c r="BZ73" s="193"/>
      <c r="CA73" s="193"/>
      <c r="CB73" s="193"/>
      <c r="CC73" s="193"/>
      <c r="CD73" s="193"/>
      <c r="CE73" s="193"/>
      <c r="CF73" s="193"/>
      <c r="CG73" s="193"/>
      <c r="CH73" s="193"/>
      <c r="CI73" s="193"/>
      <c r="CJ73" s="193"/>
      <c r="CK73" s="193"/>
      <c r="CL73" s="193"/>
      <c r="CM73" s="193"/>
      <c r="CN73" s="193"/>
      <c r="CO73" s="193"/>
      <c r="CP73" s="193"/>
      <c r="CQ73" s="193"/>
      <c r="CR73" s="193"/>
      <c r="CS73" s="193"/>
      <c r="CT73" s="193"/>
      <c r="CU73" s="193"/>
      <c r="CV73" s="193"/>
      <c r="CW73" s="193"/>
      <c r="CX73" s="193"/>
      <c r="CY73" s="193"/>
      <c r="CZ73" s="193"/>
      <c r="DA73" s="193"/>
      <c r="DB73" s="193"/>
      <c r="DC73" s="193"/>
      <c r="DD73" s="193"/>
      <c r="DE73" s="193"/>
      <c r="DF73" s="193"/>
      <c r="DG73" s="193"/>
      <c r="DH73" s="193"/>
      <c r="DI73" s="193"/>
      <c r="DJ73" s="193"/>
      <c r="DK73" s="193"/>
      <c r="DL73" s="193"/>
      <c r="DM73" s="193"/>
      <c r="DN73" s="193"/>
      <c r="DO73" s="193"/>
      <c r="DP73" s="193"/>
      <c r="DQ73" s="193"/>
      <c r="DR73" s="193"/>
      <c r="DS73" s="193"/>
      <c r="DT73" s="193"/>
      <c r="DU73" s="193"/>
      <c r="DV73" s="193"/>
      <c r="DW73" s="193"/>
      <c r="DX73" s="193"/>
      <c r="DY73" s="193"/>
      <c r="DZ73" s="193"/>
      <c r="EA73" s="193"/>
      <c r="EB73" s="193"/>
      <c r="EC73" s="193"/>
      <c r="ED73" s="193"/>
      <c r="EE73" s="193"/>
      <c r="EF73" s="193"/>
      <c r="EG73" s="193"/>
      <c r="EH73" s="193"/>
      <c r="EI73" s="193"/>
      <c r="EJ73" s="193"/>
      <c r="EK73" s="193"/>
      <c r="EL73" s="193"/>
      <c r="EM73" s="193"/>
      <c r="EN73" s="424" t="s">
        <v>501</v>
      </c>
      <c r="EO73" s="47"/>
      <c r="EP73" s="117"/>
      <c r="EQ73" s="117" t="str">
        <f aca="false">IF(T73="","",T73)</f>
        <v>Добавить значение признака дифференциации</v>
      </c>
      <c r="ER73" s="117"/>
      <c r="ES73" s="117"/>
    </row>
    <row r="74" s="53" customFormat="true" ht="21" hidden="false" customHeight="true" outlineLevel="0" collapsed="false">
      <c r="A74" s="415"/>
      <c r="B74" s="415"/>
      <c r="C74" s="415"/>
      <c r="D74" s="415"/>
      <c r="E74" s="416"/>
      <c r="F74" s="416" t="n">
        <v>1</v>
      </c>
      <c r="G74" s="416"/>
      <c r="H74" s="416"/>
      <c r="I74" s="431"/>
      <c r="J74" s="415"/>
      <c r="K74" s="415"/>
      <c r="L74" s="417"/>
      <c r="M74" s="51"/>
      <c r="N74" s="51"/>
      <c r="O74" s="51"/>
      <c r="P74" s="120"/>
      <c r="Q74" s="120"/>
      <c r="R74" s="432"/>
      <c r="S74" s="444"/>
      <c r="T74" s="451" t="s">
        <v>428</v>
      </c>
      <c r="U74" s="193"/>
      <c r="V74" s="193"/>
      <c r="W74" s="193"/>
      <c r="X74" s="193"/>
      <c r="Y74" s="193"/>
      <c r="Z74" s="193"/>
      <c r="AA74" s="193"/>
      <c r="AB74" s="193"/>
      <c r="AC74" s="193"/>
      <c r="AD74" s="193"/>
      <c r="AE74" s="193"/>
      <c r="AF74" s="448"/>
      <c r="AG74" s="193"/>
      <c r="AH74" s="193"/>
      <c r="AI74" s="193"/>
      <c r="AJ74" s="193"/>
      <c r="AK74" s="193"/>
      <c r="AL74" s="193"/>
      <c r="AM74" s="193"/>
      <c r="AN74" s="193"/>
      <c r="AO74" s="193"/>
      <c r="AP74" s="193"/>
      <c r="AQ74" s="448"/>
      <c r="AR74" s="193"/>
      <c r="AS74" s="193"/>
      <c r="AT74" s="193"/>
      <c r="AU74" s="193"/>
      <c r="AV74" s="193"/>
      <c r="AW74" s="193"/>
      <c r="AX74" s="193"/>
      <c r="AY74" s="193"/>
      <c r="AZ74" s="193"/>
      <c r="BA74" s="193"/>
      <c r="BB74" s="448"/>
      <c r="BC74" s="193"/>
      <c r="BD74" s="193"/>
      <c r="BE74" s="193"/>
      <c r="BF74" s="193"/>
      <c r="BG74" s="193"/>
      <c r="BH74" s="193"/>
      <c r="BI74" s="193"/>
      <c r="BJ74" s="193"/>
      <c r="BK74" s="193"/>
      <c r="BL74" s="193"/>
      <c r="BM74" s="448"/>
      <c r="BN74" s="193"/>
      <c r="BO74" s="193"/>
      <c r="BP74" s="193"/>
      <c r="BQ74" s="193"/>
      <c r="BR74" s="193"/>
      <c r="BS74" s="193"/>
      <c r="BT74" s="193"/>
      <c r="BU74" s="193"/>
      <c r="BV74" s="193"/>
      <c r="BW74" s="193"/>
      <c r="BX74" s="448"/>
      <c r="BY74" s="193"/>
      <c r="BZ74" s="193"/>
      <c r="CA74" s="193"/>
      <c r="CB74" s="193"/>
      <c r="CC74" s="193"/>
      <c r="CD74" s="193"/>
      <c r="CE74" s="193"/>
      <c r="CF74" s="193"/>
      <c r="CG74" s="193"/>
      <c r="CH74" s="193"/>
      <c r="CI74" s="448"/>
      <c r="CJ74" s="193"/>
      <c r="CK74" s="193"/>
      <c r="CL74" s="193"/>
      <c r="CM74" s="193"/>
      <c r="CN74" s="193"/>
      <c r="CO74" s="193"/>
      <c r="CP74" s="193"/>
      <c r="CQ74" s="193"/>
      <c r="CR74" s="193"/>
      <c r="CS74" s="193"/>
      <c r="CT74" s="448"/>
      <c r="CU74" s="193"/>
      <c r="CV74" s="193"/>
      <c r="CW74" s="193"/>
      <c r="CX74" s="193"/>
      <c r="CY74" s="193"/>
      <c r="CZ74" s="193"/>
      <c r="DA74" s="193"/>
      <c r="DB74" s="193"/>
      <c r="DC74" s="193"/>
      <c r="DD74" s="193"/>
      <c r="DE74" s="448"/>
      <c r="DF74" s="193"/>
      <c r="DG74" s="193"/>
      <c r="DH74" s="193"/>
      <c r="DI74" s="193"/>
      <c r="DJ74" s="193"/>
      <c r="DK74" s="193"/>
      <c r="DL74" s="193"/>
      <c r="DM74" s="193"/>
      <c r="DN74" s="193"/>
      <c r="DO74" s="193"/>
      <c r="DP74" s="448"/>
      <c r="DQ74" s="193"/>
      <c r="DR74" s="193"/>
      <c r="DS74" s="193"/>
      <c r="DT74" s="193"/>
      <c r="DU74" s="193"/>
      <c r="DV74" s="193"/>
      <c r="DW74" s="193"/>
      <c r="DX74" s="193"/>
      <c r="DY74" s="193"/>
      <c r="DZ74" s="193"/>
      <c r="EA74" s="448"/>
      <c r="EB74" s="193"/>
      <c r="EC74" s="193"/>
      <c r="ED74" s="193"/>
      <c r="EE74" s="193"/>
      <c r="EF74" s="193"/>
      <c r="EG74" s="193"/>
      <c r="EH74" s="193"/>
      <c r="EI74" s="193"/>
      <c r="EJ74" s="193"/>
      <c r="EK74" s="193"/>
      <c r="EL74" s="448"/>
      <c r="EM74" s="193"/>
      <c r="EN74" s="566"/>
      <c r="EO74" s="47"/>
      <c r="EP74" s="117"/>
      <c r="EQ74" s="117" t="str">
        <f aca="false">IF(T74="","",T74)</f>
        <v>Добавить группу потребителей</v>
      </c>
      <c r="ER74" s="117"/>
      <c r="ES74" s="117"/>
    </row>
    <row r="75" s="53" customFormat="true" ht="21" hidden="false" customHeight="true" outlineLevel="0" collapsed="false">
      <c r="A75" s="415"/>
      <c r="B75" s="415"/>
      <c r="C75" s="415"/>
      <c r="D75" s="415"/>
      <c r="E75" s="416"/>
      <c r="F75" s="416" t="n">
        <v>1</v>
      </c>
      <c r="G75" s="416"/>
      <c r="H75" s="560"/>
      <c r="I75" s="415"/>
      <c r="J75" s="415"/>
      <c r="K75" s="415"/>
      <c r="L75" s="417"/>
      <c r="M75" s="40"/>
      <c r="N75" s="40"/>
      <c r="O75" s="45"/>
      <c r="P75" s="131"/>
      <c r="Q75" s="450"/>
      <c r="R75" s="418"/>
      <c r="S75" s="444"/>
      <c r="T75" s="567" t="s">
        <v>502</v>
      </c>
      <c r="U75" s="193"/>
      <c r="V75" s="193"/>
      <c r="W75" s="193"/>
      <c r="X75" s="193"/>
      <c r="Y75" s="193"/>
      <c r="Z75" s="193"/>
      <c r="AA75" s="193"/>
      <c r="AB75" s="193"/>
      <c r="AC75" s="193"/>
      <c r="AD75" s="193"/>
      <c r="AE75" s="193"/>
      <c r="AF75" s="448"/>
      <c r="AG75" s="193"/>
      <c r="AH75" s="193"/>
      <c r="AI75" s="193"/>
      <c r="AJ75" s="193"/>
      <c r="AK75" s="193"/>
      <c r="AL75" s="193"/>
      <c r="AM75" s="193"/>
      <c r="AN75" s="193"/>
      <c r="AO75" s="193"/>
      <c r="AP75" s="193"/>
      <c r="AQ75" s="448"/>
      <c r="AR75" s="193"/>
      <c r="AS75" s="193"/>
      <c r="AT75" s="193"/>
      <c r="AU75" s="193"/>
      <c r="AV75" s="193"/>
      <c r="AW75" s="193"/>
      <c r="AX75" s="193"/>
      <c r="AY75" s="193"/>
      <c r="AZ75" s="193"/>
      <c r="BA75" s="193"/>
      <c r="BB75" s="448"/>
      <c r="BC75" s="193"/>
      <c r="BD75" s="193"/>
      <c r="BE75" s="193"/>
      <c r="BF75" s="193"/>
      <c r="BG75" s="193"/>
      <c r="BH75" s="193"/>
      <c r="BI75" s="193"/>
      <c r="BJ75" s="193"/>
      <c r="BK75" s="193"/>
      <c r="BL75" s="193"/>
      <c r="BM75" s="448"/>
      <c r="BN75" s="193"/>
      <c r="BO75" s="193"/>
      <c r="BP75" s="193"/>
      <c r="BQ75" s="193"/>
      <c r="BR75" s="193"/>
      <c r="BS75" s="193"/>
      <c r="BT75" s="193"/>
      <c r="BU75" s="193"/>
      <c r="BV75" s="193"/>
      <c r="BW75" s="193"/>
      <c r="BX75" s="448"/>
      <c r="BY75" s="193"/>
      <c r="BZ75" s="193"/>
      <c r="CA75" s="193"/>
      <c r="CB75" s="193"/>
      <c r="CC75" s="193"/>
      <c r="CD75" s="193"/>
      <c r="CE75" s="193"/>
      <c r="CF75" s="193"/>
      <c r="CG75" s="193"/>
      <c r="CH75" s="193"/>
      <c r="CI75" s="448"/>
      <c r="CJ75" s="193"/>
      <c r="CK75" s="193"/>
      <c r="CL75" s="193"/>
      <c r="CM75" s="193"/>
      <c r="CN75" s="193"/>
      <c r="CO75" s="193"/>
      <c r="CP75" s="193"/>
      <c r="CQ75" s="193"/>
      <c r="CR75" s="193"/>
      <c r="CS75" s="193"/>
      <c r="CT75" s="448"/>
      <c r="CU75" s="193"/>
      <c r="CV75" s="193"/>
      <c r="CW75" s="193"/>
      <c r="CX75" s="193"/>
      <c r="CY75" s="193"/>
      <c r="CZ75" s="193"/>
      <c r="DA75" s="193"/>
      <c r="DB75" s="193"/>
      <c r="DC75" s="193"/>
      <c r="DD75" s="193"/>
      <c r="DE75" s="448"/>
      <c r="DF75" s="193"/>
      <c r="DG75" s="193"/>
      <c r="DH75" s="193"/>
      <c r="DI75" s="193"/>
      <c r="DJ75" s="193"/>
      <c r="DK75" s="193"/>
      <c r="DL75" s="193"/>
      <c r="DM75" s="193"/>
      <c r="DN75" s="193"/>
      <c r="DO75" s="193"/>
      <c r="DP75" s="448"/>
      <c r="DQ75" s="193"/>
      <c r="DR75" s="193"/>
      <c r="DS75" s="193"/>
      <c r="DT75" s="193"/>
      <c r="DU75" s="193"/>
      <c r="DV75" s="193"/>
      <c r="DW75" s="193"/>
      <c r="DX75" s="193"/>
      <c r="DY75" s="193"/>
      <c r="DZ75" s="193"/>
      <c r="EA75" s="448"/>
      <c r="EB75" s="193"/>
      <c r="EC75" s="193"/>
      <c r="ED75" s="193"/>
      <c r="EE75" s="193"/>
      <c r="EF75" s="193"/>
      <c r="EG75" s="193"/>
      <c r="EH75" s="193"/>
      <c r="EI75" s="193"/>
      <c r="EJ75" s="193"/>
      <c r="EK75" s="193"/>
      <c r="EL75" s="448"/>
      <c r="EM75" s="193"/>
      <c r="EN75" s="449"/>
      <c r="EO75" s="47"/>
      <c r="EP75" s="117"/>
      <c r="EQ75" s="117" t="str">
        <f aca="false">IF(T75="","",T75)</f>
        <v>Добавить наименование признака дифференциации</v>
      </c>
      <c r="ER75" s="117"/>
      <c r="ES75" s="117"/>
    </row>
    <row r="76" s="47" customFormat="true" ht="14.25" hidden="false" customHeight="true" outlineLevel="0" collapsed="false">
      <c r="A76" s="121"/>
      <c r="B76" s="121"/>
      <c r="C76" s="121"/>
      <c r="D76" s="121"/>
      <c r="E76" s="416"/>
      <c r="F76" s="416" t="n">
        <v>1</v>
      </c>
      <c r="G76" s="121"/>
      <c r="H76" s="121"/>
      <c r="I76" s="121"/>
      <c r="J76" s="121"/>
      <c r="K76" s="121"/>
      <c r="L76" s="191"/>
      <c r="M76" s="456"/>
      <c r="N76" s="456"/>
      <c r="P76" s="155"/>
      <c r="Q76" s="452"/>
      <c r="R76" s="155"/>
      <c r="S76" s="457"/>
      <c r="T76" s="460" t="s">
        <v>261</v>
      </c>
      <c r="U76" s="459"/>
      <c r="V76" s="459"/>
      <c r="W76" s="459"/>
      <c r="X76" s="459"/>
      <c r="Y76" s="459"/>
      <c r="Z76" s="459"/>
      <c r="AA76" s="459"/>
      <c r="AB76" s="459"/>
      <c r="AC76" s="459"/>
      <c r="AD76" s="459"/>
      <c r="AE76" s="459"/>
      <c r="AF76" s="459"/>
      <c r="AG76" s="459"/>
      <c r="AH76" s="459"/>
      <c r="AI76" s="459"/>
      <c r="AJ76" s="459"/>
      <c r="AK76" s="459"/>
      <c r="AL76" s="459"/>
      <c r="AM76" s="459"/>
      <c r="AN76" s="459"/>
      <c r="AO76" s="459"/>
      <c r="AP76" s="459"/>
      <c r="AQ76" s="459"/>
      <c r="AR76" s="459"/>
      <c r="AS76" s="459"/>
      <c r="AT76" s="459"/>
      <c r="AU76" s="459"/>
      <c r="AV76" s="459"/>
      <c r="AW76" s="459"/>
      <c r="AX76" s="459"/>
      <c r="AY76" s="459"/>
      <c r="AZ76" s="459"/>
      <c r="BA76" s="459"/>
      <c r="BB76" s="459"/>
      <c r="BC76" s="459"/>
      <c r="BD76" s="459"/>
      <c r="BE76" s="459"/>
      <c r="BF76" s="459"/>
      <c r="BG76" s="459"/>
      <c r="BH76" s="459"/>
      <c r="BI76" s="459"/>
      <c r="BJ76" s="459"/>
      <c r="BK76" s="459"/>
      <c r="BL76" s="459"/>
      <c r="BM76" s="459"/>
      <c r="BN76" s="459"/>
      <c r="BO76" s="459"/>
      <c r="BP76" s="459"/>
      <c r="BQ76" s="459"/>
      <c r="BR76" s="459"/>
      <c r="BS76" s="459"/>
      <c r="BT76" s="459"/>
      <c r="BU76" s="459"/>
      <c r="BV76" s="459"/>
      <c r="BW76" s="459"/>
      <c r="BX76" s="459"/>
      <c r="BY76" s="459"/>
      <c r="BZ76" s="459"/>
      <c r="CA76" s="459"/>
      <c r="CB76" s="459"/>
      <c r="CC76" s="459"/>
      <c r="CD76" s="459"/>
      <c r="CE76" s="459"/>
      <c r="CF76" s="459"/>
      <c r="CG76" s="459"/>
      <c r="CH76" s="459"/>
      <c r="CI76" s="459"/>
      <c r="CJ76" s="459"/>
      <c r="CK76" s="459"/>
      <c r="CL76" s="459"/>
      <c r="CM76" s="459"/>
      <c r="CN76" s="459"/>
      <c r="CO76" s="459"/>
      <c r="CP76" s="459"/>
      <c r="CQ76" s="459"/>
      <c r="CR76" s="459"/>
      <c r="CS76" s="459"/>
      <c r="CT76" s="459"/>
      <c r="CU76" s="459"/>
      <c r="CV76" s="459"/>
      <c r="CW76" s="459"/>
      <c r="CX76" s="459"/>
      <c r="CY76" s="459"/>
      <c r="CZ76" s="459"/>
      <c r="DA76" s="459"/>
      <c r="DB76" s="459"/>
      <c r="DC76" s="459"/>
      <c r="DD76" s="459"/>
      <c r="DE76" s="459"/>
      <c r="DF76" s="459"/>
      <c r="DG76" s="459"/>
      <c r="DH76" s="459"/>
      <c r="DI76" s="459"/>
      <c r="DJ76" s="459"/>
      <c r="DK76" s="459"/>
      <c r="DL76" s="459"/>
      <c r="DM76" s="459"/>
      <c r="DN76" s="459"/>
      <c r="DO76" s="459"/>
      <c r="DP76" s="459"/>
      <c r="DQ76" s="459"/>
      <c r="DR76" s="459"/>
      <c r="DS76" s="459"/>
      <c r="DT76" s="459"/>
      <c r="DU76" s="459"/>
      <c r="DV76" s="459"/>
      <c r="DW76" s="459"/>
      <c r="DX76" s="459"/>
      <c r="DY76" s="459"/>
      <c r="DZ76" s="459"/>
      <c r="EA76" s="459"/>
      <c r="EB76" s="459"/>
      <c r="EC76" s="459"/>
      <c r="ED76" s="459"/>
      <c r="EE76" s="459"/>
      <c r="EF76" s="459"/>
      <c r="EG76" s="459"/>
      <c r="EH76" s="459"/>
      <c r="EI76" s="459"/>
      <c r="EJ76" s="459"/>
      <c r="EK76" s="459"/>
      <c r="EL76" s="459"/>
      <c r="EM76" s="459"/>
      <c r="EN76" s="459"/>
      <c r="EP76" s="117"/>
      <c r="EQ76" s="117" t="str">
        <f aca="false">IF(T76="","",T76)</f>
        <v>Добавить централизованную систему для дифференциации</v>
      </c>
      <c r="ER76" s="117"/>
      <c r="ES76" s="117"/>
    </row>
    <row r="77" s="53" customFormat="true" ht="23.25" hidden="false" customHeight="true" outlineLevel="0" collapsed="false">
      <c r="A77" s="415"/>
      <c r="B77" s="415" t="s">
        <v>265</v>
      </c>
      <c r="C77" s="415"/>
      <c r="D77" s="415"/>
      <c r="E77" s="416"/>
      <c r="F77" s="416" t="s">
        <v>86</v>
      </c>
      <c r="G77" s="415"/>
      <c r="H77" s="415"/>
      <c r="I77" s="415"/>
      <c r="J77" s="415"/>
      <c r="K77" s="415"/>
      <c r="L77" s="417"/>
      <c r="M77" s="40"/>
      <c r="N77" s="40"/>
      <c r="O77" s="40"/>
      <c r="P77" s="43"/>
      <c r="Q77" s="425"/>
      <c r="R77" s="426"/>
      <c r="S77" s="419" t="str">
        <f aca="false">INDEX(PT_DIFFERENTIATION_NUM_TER,MATCH(B77,PT_DIFFERENTIATION_TER_ID,0))</f>
        <v>1.3</v>
      </c>
      <c r="T77" s="427" t="s">
        <v>413</v>
      </c>
      <c r="U77" s="421"/>
      <c r="V77" s="422"/>
      <c r="W77" s="422"/>
      <c r="X77" s="422"/>
      <c r="Y77" s="422"/>
      <c r="Z77" s="422"/>
      <c r="AA77" s="422"/>
      <c r="AB77" s="422"/>
      <c r="AC77" s="422"/>
      <c r="AD77" s="422"/>
      <c r="AE77" s="422"/>
      <c r="AF77" s="422"/>
      <c r="AG77" s="423" t="str">
        <f aca="false">INDEX(PT_DIFFERENTIATION_TER,MATCH(B77,PT_DIFFERENTIATION_TER_ID,0))</f>
        <v>Территория 3</v>
      </c>
      <c r="AH77" s="423"/>
      <c r="AI77" s="423"/>
      <c r="AJ77" s="423"/>
      <c r="AK77" s="423"/>
      <c r="AL77" s="423"/>
      <c r="AM77" s="423"/>
      <c r="AN77" s="423"/>
      <c r="AO77" s="423"/>
      <c r="AP77" s="423"/>
      <c r="AQ77" s="423"/>
      <c r="AR77" s="423"/>
      <c r="AS77" s="423"/>
      <c r="AT77" s="423"/>
      <c r="AU77" s="423"/>
      <c r="AV77" s="423"/>
      <c r="AW77" s="423"/>
      <c r="AX77" s="423"/>
      <c r="AY77" s="423"/>
      <c r="AZ77" s="423"/>
      <c r="BA77" s="423"/>
      <c r="BB77" s="423"/>
      <c r="BC77" s="423"/>
      <c r="BD77" s="423"/>
      <c r="BE77" s="423"/>
      <c r="BF77" s="423"/>
      <c r="BG77" s="423"/>
      <c r="BH77" s="423"/>
      <c r="BI77" s="423"/>
      <c r="BJ77" s="423"/>
      <c r="BK77" s="423"/>
      <c r="BL77" s="423"/>
      <c r="BM77" s="423"/>
      <c r="BN77" s="423"/>
      <c r="BO77" s="423"/>
      <c r="BP77" s="423"/>
      <c r="BQ77" s="423"/>
      <c r="BR77" s="423"/>
      <c r="BS77" s="423"/>
      <c r="BT77" s="423"/>
      <c r="BU77" s="423"/>
      <c r="BV77" s="423"/>
      <c r="BW77" s="423"/>
      <c r="BX77" s="423"/>
      <c r="BY77" s="423"/>
      <c r="BZ77" s="423"/>
      <c r="CA77" s="423"/>
      <c r="CB77" s="423"/>
      <c r="CC77" s="423"/>
      <c r="CD77" s="423"/>
      <c r="CE77" s="423"/>
      <c r="CF77" s="423"/>
      <c r="CG77" s="423"/>
      <c r="CH77" s="423"/>
      <c r="CI77" s="423"/>
      <c r="CJ77" s="423"/>
      <c r="CK77" s="423"/>
      <c r="CL77" s="423"/>
      <c r="CM77" s="423"/>
      <c r="CN77" s="423"/>
      <c r="CO77" s="423"/>
      <c r="CP77" s="423"/>
      <c r="CQ77" s="423"/>
      <c r="CR77" s="423"/>
      <c r="CS77" s="423"/>
      <c r="CT77" s="423"/>
      <c r="CU77" s="423"/>
      <c r="CV77" s="423"/>
      <c r="CW77" s="423"/>
      <c r="CX77" s="423"/>
      <c r="CY77" s="423"/>
      <c r="CZ77" s="423"/>
      <c r="DA77" s="423"/>
      <c r="DB77" s="423"/>
      <c r="DC77" s="423"/>
      <c r="DD77" s="423"/>
      <c r="DE77" s="423"/>
      <c r="DF77" s="423"/>
      <c r="DG77" s="423"/>
      <c r="DH77" s="423"/>
      <c r="DI77" s="423"/>
      <c r="DJ77" s="423"/>
      <c r="DK77" s="423"/>
      <c r="DL77" s="423"/>
      <c r="DM77" s="423"/>
      <c r="DN77" s="423"/>
      <c r="DO77" s="423"/>
      <c r="DP77" s="423"/>
      <c r="DQ77" s="423"/>
      <c r="DR77" s="423"/>
      <c r="DS77" s="423"/>
      <c r="DT77" s="423"/>
      <c r="DU77" s="423"/>
      <c r="DV77" s="423"/>
      <c r="DW77" s="423"/>
      <c r="DX77" s="423"/>
      <c r="DY77" s="423"/>
      <c r="DZ77" s="423"/>
      <c r="EA77" s="423"/>
      <c r="EB77" s="423"/>
      <c r="EC77" s="423"/>
      <c r="ED77" s="423"/>
      <c r="EE77" s="423"/>
      <c r="EF77" s="423"/>
      <c r="EG77" s="423"/>
      <c r="EH77" s="423"/>
      <c r="EI77" s="423"/>
      <c r="EJ77" s="423"/>
      <c r="EK77" s="423"/>
      <c r="EL77" s="423"/>
      <c r="EM77" s="423"/>
      <c r="EN77" s="424" t="s">
        <v>414</v>
      </c>
      <c r="EO77" s="47"/>
      <c r="EP77" s="117"/>
      <c r="EQ77" s="117" t="str">
        <f aca="false">IF(T77="","",T77)</f>
        <v>Территория действия тарифа</v>
      </c>
      <c r="ER77" s="117"/>
      <c r="ES77" s="117"/>
    </row>
    <row r="78" s="53" customFormat="true" ht="23.25" hidden="false" customHeight="true" outlineLevel="0" collapsed="false">
      <c r="A78" s="415"/>
      <c r="B78" s="415"/>
      <c r="C78" s="415" t="s">
        <v>266</v>
      </c>
      <c r="D78" s="415"/>
      <c r="E78" s="416"/>
      <c r="F78" s="416" t="s">
        <v>99</v>
      </c>
      <c r="G78" s="416" t="n">
        <v>1</v>
      </c>
      <c r="H78" s="415"/>
      <c r="I78" s="415"/>
      <c r="J78" s="415"/>
      <c r="K78" s="415"/>
      <c r="L78" s="417"/>
      <c r="M78" s="40"/>
      <c r="N78" s="40"/>
      <c r="O78" s="40"/>
      <c r="P78" s="428"/>
      <c r="Q78" s="425"/>
      <c r="R78" s="426"/>
      <c r="S78" s="419" t="str">
        <f aca="false">INDEX(PT_DIFFERENTIATION_NUM_CS,MATCH(C78,PT_DIFFERENTIATION_CS_ID,0))</f>
        <v>1.3.1</v>
      </c>
      <c r="T78" s="429" t="s">
        <v>544</v>
      </c>
      <c r="U78" s="421"/>
      <c r="V78" s="422"/>
      <c r="W78" s="422"/>
      <c r="X78" s="422"/>
      <c r="Y78" s="422"/>
      <c r="Z78" s="422"/>
      <c r="AA78" s="422"/>
      <c r="AB78" s="422"/>
      <c r="AC78" s="422"/>
      <c r="AD78" s="422"/>
      <c r="AE78" s="422"/>
      <c r="AF78" s="422"/>
      <c r="AG78" s="423" t="str">
        <f aca="false">INDEX(PT_DIFFERENTIATION_CS,MATCH(C78,PT_DIFFERENTIATION_CS_ID,0))</f>
        <v>без дифференциации</v>
      </c>
      <c r="AH78" s="423"/>
      <c r="AI78" s="423"/>
      <c r="AJ78" s="423"/>
      <c r="AK78" s="423"/>
      <c r="AL78" s="423"/>
      <c r="AM78" s="423"/>
      <c r="AN78" s="423"/>
      <c r="AO78" s="423"/>
      <c r="AP78" s="423"/>
      <c r="AQ78" s="423"/>
      <c r="AR78" s="423"/>
      <c r="AS78" s="423"/>
      <c r="AT78" s="423"/>
      <c r="AU78" s="423"/>
      <c r="AV78" s="423"/>
      <c r="AW78" s="423"/>
      <c r="AX78" s="423"/>
      <c r="AY78" s="423"/>
      <c r="AZ78" s="423"/>
      <c r="BA78" s="423"/>
      <c r="BB78" s="423"/>
      <c r="BC78" s="423"/>
      <c r="BD78" s="423"/>
      <c r="BE78" s="423"/>
      <c r="BF78" s="423"/>
      <c r="BG78" s="423"/>
      <c r="BH78" s="423"/>
      <c r="BI78" s="423"/>
      <c r="BJ78" s="423"/>
      <c r="BK78" s="423"/>
      <c r="BL78" s="423"/>
      <c r="BM78" s="423"/>
      <c r="BN78" s="423"/>
      <c r="BO78" s="423"/>
      <c r="BP78" s="423"/>
      <c r="BQ78" s="423"/>
      <c r="BR78" s="423"/>
      <c r="BS78" s="423"/>
      <c r="BT78" s="423"/>
      <c r="BU78" s="423"/>
      <c r="BV78" s="423"/>
      <c r="BW78" s="423"/>
      <c r="BX78" s="423"/>
      <c r="BY78" s="423"/>
      <c r="BZ78" s="423"/>
      <c r="CA78" s="423"/>
      <c r="CB78" s="423"/>
      <c r="CC78" s="423"/>
      <c r="CD78" s="423"/>
      <c r="CE78" s="423"/>
      <c r="CF78" s="423"/>
      <c r="CG78" s="423"/>
      <c r="CH78" s="423"/>
      <c r="CI78" s="423"/>
      <c r="CJ78" s="423"/>
      <c r="CK78" s="423"/>
      <c r="CL78" s="423"/>
      <c r="CM78" s="423"/>
      <c r="CN78" s="423"/>
      <c r="CO78" s="423"/>
      <c r="CP78" s="423"/>
      <c r="CQ78" s="423"/>
      <c r="CR78" s="423"/>
      <c r="CS78" s="423"/>
      <c r="CT78" s="423"/>
      <c r="CU78" s="423"/>
      <c r="CV78" s="423"/>
      <c r="CW78" s="423"/>
      <c r="CX78" s="423"/>
      <c r="CY78" s="423"/>
      <c r="CZ78" s="423"/>
      <c r="DA78" s="423"/>
      <c r="DB78" s="423"/>
      <c r="DC78" s="423"/>
      <c r="DD78" s="423"/>
      <c r="DE78" s="423"/>
      <c r="DF78" s="423"/>
      <c r="DG78" s="423"/>
      <c r="DH78" s="423"/>
      <c r="DI78" s="423"/>
      <c r="DJ78" s="423"/>
      <c r="DK78" s="423"/>
      <c r="DL78" s="423"/>
      <c r="DM78" s="423"/>
      <c r="DN78" s="423"/>
      <c r="DO78" s="423"/>
      <c r="DP78" s="423"/>
      <c r="DQ78" s="423"/>
      <c r="DR78" s="423"/>
      <c r="DS78" s="423"/>
      <c r="DT78" s="423"/>
      <c r="DU78" s="423"/>
      <c r="DV78" s="423"/>
      <c r="DW78" s="423"/>
      <c r="DX78" s="423"/>
      <c r="DY78" s="423"/>
      <c r="DZ78" s="423"/>
      <c r="EA78" s="423"/>
      <c r="EB78" s="423"/>
      <c r="EC78" s="423"/>
      <c r="ED78" s="423"/>
      <c r="EE78" s="423"/>
      <c r="EF78" s="423"/>
      <c r="EG78" s="423"/>
      <c r="EH78" s="423"/>
      <c r="EI78" s="423"/>
      <c r="EJ78" s="423"/>
      <c r="EK78" s="423"/>
      <c r="EL78" s="423"/>
      <c r="EM78" s="423"/>
      <c r="EN78" s="424" t="s">
        <v>545</v>
      </c>
      <c r="EO78" s="47"/>
      <c r="EP78" s="117"/>
      <c r="EQ78" s="117" t="str">
        <f aca="false">IF(T78="","",T78)</f>
        <v>Наименование централизованной системы горячего водоснабжения</v>
      </c>
      <c r="ER78" s="117"/>
      <c r="ES78" s="117"/>
    </row>
    <row r="79" s="53" customFormat="true" ht="23.25" hidden="false" customHeight="true" outlineLevel="0" collapsed="false">
      <c r="A79" s="415"/>
      <c r="B79" s="415"/>
      <c r="C79" s="415"/>
      <c r="D79" s="415"/>
      <c r="E79" s="416"/>
      <c r="F79" s="416" t="s">
        <v>99</v>
      </c>
      <c r="G79" s="416"/>
      <c r="H79" s="560"/>
      <c r="I79" s="431" t="str">
        <f aca="false">S78&amp;".1"</f>
        <v>1.3.1.1</v>
      </c>
      <c r="J79" s="415"/>
      <c r="K79" s="415"/>
      <c r="L79" s="417"/>
      <c r="M79" s="51"/>
      <c r="N79" s="51"/>
      <c r="O79" s="51"/>
      <c r="P79" s="120" t="n">
        <v>1</v>
      </c>
      <c r="Q79" s="120"/>
      <c r="R79" s="432"/>
      <c r="S79" s="419" t="str">
        <f aca="false">$I79</f>
        <v>1.3.1.1</v>
      </c>
      <c r="T79" s="433" t="s">
        <v>497</v>
      </c>
      <c r="U79" s="421"/>
      <c r="V79" s="561"/>
      <c r="W79" s="561"/>
      <c r="X79" s="561"/>
      <c r="Y79" s="561"/>
      <c r="Z79" s="561"/>
      <c r="AA79" s="561"/>
      <c r="AB79" s="561"/>
      <c r="AC79" s="561"/>
      <c r="AD79" s="561"/>
      <c r="AE79" s="561"/>
      <c r="AF79" s="561"/>
      <c r="AG79" s="245"/>
      <c r="AH79" s="245"/>
      <c r="AI79" s="245"/>
      <c r="AJ79" s="245"/>
      <c r="AK79" s="245"/>
      <c r="AL79" s="245"/>
      <c r="AM79" s="245"/>
      <c r="AN79" s="245"/>
      <c r="AO79" s="245"/>
      <c r="AP79" s="245"/>
      <c r="AQ79" s="245"/>
      <c r="AR79" s="245"/>
      <c r="AS79" s="245"/>
      <c r="AT79" s="245"/>
      <c r="AU79" s="245"/>
      <c r="AV79" s="245"/>
      <c r="AW79" s="245"/>
      <c r="AX79" s="245"/>
      <c r="AY79" s="245"/>
      <c r="AZ79" s="245"/>
      <c r="BA79" s="245"/>
      <c r="BB79" s="245"/>
      <c r="BC79" s="245"/>
      <c r="BD79" s="245"/>
      <c r="BE79" s="245"/>
      <c r="BF79" s="245"/>
      <c r="BG79" s="245"/>
      <c r="BH79" s="245"/>
      <c r="BI79" s="245"/>
      <c r="BJ79" s="245"/>
      <c r="BK79" s="245"/>
      <c r="BL79" s="245"/>
      <c r="BM79" s="245"/>
      <c r="BN79" s="245"/>
      <c r="BO79" s="245"/>
      <c r="BP79" s="245"/>
      <c r="BQ79" s="245"/>
      <c r="BR79" s="245"/>
      <c r="BS79" s="245"/>
      <c r="BT79" s="245"/>
      <c r="BU79" s="245"/>
      <c r="BV79" s="245"/>
      <c r="BW79" s="245"/>
      <c r="BX79" s="245"/>
      <c r="BY79" s="245"/>
      <c r="BZ79" s="245"/>
      <c r="CA79" s="245"/>
      <c r="CB79" s="245"/>
      <c r="CC79" s="245"/>
      <c r="CD79" s="245"/>
      <c r="CE79" s="245"/>
      <c r="CF79" s="245"/>
      <c r="CG79" s="245"/>
      <c r="CH79" s="245"/>
      <c r="CI79" s="245"/>
      <c r="CJ79" s="245"/>
      <c r="CK79" s="245"/>
      <c r="CL79" s="245"/>
      <c r="CM79" s="245"/>
      <c r="CN79" s="245"/>
      <c r="CO79" s="245"/>
      <c r="CP79" s="245"/>
      <c r="CQ79" s="245"/>
      <c r="CR79" s="245"/>
      <c r="CS79" s="245"/>
      <c r="CT79" s="245"/>
      <c r="CU79" s="245"/>
      <c r="CV79" s="245"/>
      <c r="CW79" s="245"/>
      <c r="CX79" s="245"/>
      <c r="CY79" s="245"/>
      <c r="CZ79" s="245"/>
      <c r="DA79" s="245"/>
      <c r="DB79" s="245"/>
      <c r="DC79" s="245"/>
      <c r="DD79" s="245"/>
      <c r="DE79" s="245"/>
      <c r="DF79" s="245"/>
      <c r="DG79" s="245"/>
      <c r="DH79" s="245"/>
      <c r="DI79" s="245"/>
      <c r="DJ79" s="245"/>
      <c r="DK79" s="245"/>
      <c r="DL79" s="245"/>
      <c r="DM79" s="245"/>
      <c r="DN79" s="245"/>
      <c r="DO79" s="245"/>
      <c r="DP79" s="245"/>
      <c r="DQ79" s="245"/>
      <c r="DR79" s="245"/>
      <c r="DS79" s="245"/>
      <c r="DT79" s="245"/>
      <c r="DU79" s="245"/>
      <c r="DV79" s="245"/>
      <c r="DW79" s="245"/>
      <c r="DX79" s="245"/>
      <c r="DY79" s="245"/>
      <c r="DZ79" s="245"/>
      <c r="EA79" s="245"/>
      <c r="EB79" s="245"/>
      <c r="EC79" s="245"/>
      <c r="ED79" s="245"/>
      <c r="EE79" s="245"/>
      <c r="EF79" s="245"/>
      <c r="EG79" s="245"/>
      <c r="EH79" s="245"/>
      <c r="EI79" s="245"/>
      <c r="EJ79" s="245"/>
      <c r="EK79" s="245"/>
      <c r="EL79" s="245"/>
      <c r="EM79" s="245"/>
      <c r="EN79" s="424" t="s">
        <v>498</v>
      </c>
      <c r="EO79" s="47"/>
      <c r="EP79" s="117"/>
      <c r="EQ79" s="117" t="str">
        <f aca="false">IF(T79="","",T79)</f>
        <v>Наименование признака дифференциации</v>
      </c>
      <c r="ER79" s="117"/>
      <c r="ES79" s="117"/>
    </row>
    <row r="80" s="53" customFormat="true" ht="23.25" hidden="false" customHeight="true" outlineLevel="0" collapsed="false">
      <c r="A80" s="415"/>
      <c r="B80" s="415"/>
      <c r="C80" s="415"/>
      <c r="D80" s="415"/>
      <c r="E80" s="416"/>
      <c r="F80" s="416" t="s">
        <v>99</v>
      </c>
      <c r="G80" s="416"/>
      <c r="H80" s="416"/>
      <c r="I80" s="431"/>
      <c r="J80" s="431" t="str">
        <f aca="false">I79&amp;".1"</f>
        <v>1.3.1.1.1</v>
      </c>
      <c r="K80" s="415"/>
      <c r="L80" s="417" t="s">
        <v>422</v>
      </c>
      <c r="M80" s="51"/>
      <c r="N80" s="51"/>
      <c r="O80" s="51"/>
      <c r="P80" s="120"/>
      <c r="Q80" s="120" t="n">
        <v>1</v>
      </c>
      <c r="R80" s="435"/>
      <c r="S80" s="419" t="str">
        <f aca="false">$J80</f>
        <v>1.3.1.1.1</v>
      </c>
      <c r="T80" s="436" t="s">
        <v>423</v>
      </c>
      <c r="U80" s="421"/>
      <c r="V80" s="434"/>
      <c r="W80" s="434"/>
      <c r="X80" s="434"/>
      <c r="Y80" s="434"/>
      <c r="Z80" s="434"/>
      <c r="AA80" s="434"/>
      <c r="AB80" s="434"/>
      <c r="AC80" s="434"/>
      <c r="AD80" s="434"/>
      <c r="AE80" s="434"/>
      <c r="AF80" s="434"/>
      <c r="AG80" s="434" t="s">
        <v>557</v>
      </c>
      <c r="AH80" s="434"/>
      <c r="AI80" s="434"/>
      <c r="AJ80" s="434"/>
      <c r="AK80" s="434"/>
      <c r="AL80" s="434"/>
      <c r="AM80" s="434"/>
      <c r="AN80" s="434"/>
      <c r="AO80" s="434"/>
      <c r="AP80" s="434"/>
      <c r="AQ80" s="434"/>
      <c r="AR80" s="434"/>
      <c r="AS80" s="434"/>
      <c r="AT80" s="434"/>
      <c r="AU80" s="434"/>
      <c r="AV80" s="434"/>
      <c r="AW80" s="434"/>
      <c r="AX80" s="434"/>
      <c r="AY80" s="434"/>
      <c r="AZ80" s="434"/>
      <c r="BA80" s="434"/>
      <c r="BB80" s="434"/>
      <c r="BC80" s="434"/>
      <c r="BD80" s="434"/>
      <c r="BE80" s="434"/>
      <c r="BF80" s="434"/>
      <c r="BG80" s="434"/>
      <c r="BH80" s="434"/>
      <c r="BI80" s="434"/>
      <c r="BJ80" s="434"/>
      <c r="BK80" s="434"/>
      <c r="BL80" s="434"/>
      <c r="BM80" s="434"/>
      <c r="BN80" s="434"/>
      <c r="BO80" s="434"/>
      <c r="BP80" s="434"/>
      <c r="BQ80" s="434"/>
      <c r="BR80" s="434"/>
      <c r="BS80" s="434"/>
      <c r="BT80" s="434"/>
      <c r="BU80" s="434"/>
      <c r="BV80" s="434"/>
      <c r="BW80" s="434"/>
      <c r="BX80" s="434"/>
      <c r="BY80" s="434"/>
      <c r="BZ80" s="434"/>
      <c r="CA80" s="434"/>
      <c r="CB80" s="434"/>
      <c r="CC80" s="434"/>
      <c r="CD80" s="434"/>
      <c r="CE80" s="434"/>
      <c r="CF80" s="434"/>
      <c r="CG80" s="434"/>
      <c r="CH80" s="434"/>
      <c r="CI80" s="434"/>
      <c r="CJ80" s="434"/>
      <c r="CK80" s="434"/>
      <c r="CL80" s="434"/>
      <c r="CM80" s="434"/>
      <c r="CN80" s="434"/>
      <c r="CO80" s="434"/>
      <c r="CP80" s="434"/>
      <c r="CQ80" s="434"/>
      <c r="CR80" s="434"/>
      <c r="CS80" s="434"/>
      <c r="CT80" s="434"/>
      <c r="CU80" s="434"/>
      <c r="CV80" s="434"/>
      <c r="CW80" s="434"/>
      <c r="CX80" s="434"/>
      <c r="CY80" s="434"/>
      <c r="CZ80" s="434"/>
      <c r="DA80" s="434"/>
      <c r="DB80" s="434"/>
      <c r="DC80" s="434"/>
      <c r="DD80" s="434"/>
      <c r="DE80" s="434"/>
      <c r="DF80" s="434"/>
      <c r="DG80" s="434"/>
      <c r="DH80" s="434"/>
      <c r="DI80" s="434"/>
      <c r="DJ80" s="434"/>
      <c r="DK80" s="434"/>
      <c r="DL80" s="434"/>
      <c r="DM80" s="434"/>
      <c r="DN80" s="434"/>
      <c r="DO80" s="434"/>
      <c r="DP80" s="434"/>
      <c r="DQ80" s="434"/>
      <c r="DR80" s="434"/>
      <c r="DS80" s="434"/>
      <c r="DT80" s="434"/>
      <c r="DU80" s="434"/>
      <c r="DV80" s="434"/>
      <c r="DW80" s="434"/>
      <c r="DX80" s="434"/>
      <c r="DY80" s="434"/>
      <c r="DZ80" s="434"/>
      <c r="EA80" s="434"/>
      <c r="EB80" s="434"/>
      <c r="EC80" s="434"/>
      <c r="ED80" s="434"/>
      <c r="EE80" s="434"/>
      <c r="EF80" s="434"/>
      <c r="EG80" s="434"/>
      <c r="EH80" s="434"/>
      <c r="EI80" s="434"/>
      <c r="EJ80" s="434"/>
      <c r="EK80" s="434"/>
      <c r="EL80" s="434"/>
      <c r="EM80" s="434"/>
      <c r="EN80" s="514" t="s">
        <v>499</v>
      </c>
      <c r="EO80" s="47"/>
      <c r="EP80" s="117"/>
      <c r="EQ80" s="117" t="str">
        <f aca="false">IF(T80="","",T80)</f>
        <v>Группа потребителей</v>
      </c>
      <c r="ER80" s="117"/>
      <c r="ES80" s="117"/>
    </row>
    <row r="81" s="53" customFormat="true" ht="23.25" hidden="false" customHeight="true" outlineLevel="0" collapsed="false">
      <c r="A81" s="415"/>
      <c r="B81" s="415"/>
      <c r="C81" s="415"/>
      <c r="D81" s="415"/>
      <c r="E81" s="416"/>
      <c r="F81" s="416" t="s">
        <v>99</v>
      </c>
      <c r="G81" s="416"/>
      <c r="H81" s="416"/>
      <c r="I81" s="431"/>
      <c r="J81" s="431"/>
      <c r="K81" s="431" t="str">
        <f aca="false">J80&amp;".1"</f>
        <v>1.3.1.1.1.1</v>
      </c>
      <c r="L81" s="417"/>
      <c r="M81" s="51"/>
      <c r="N81" s="51"/>
      <c r="O81" s="51"/>
      <c r="P81" s="120"/>
      <c r="Q81" s="120"/>
      <c r="R81" s="435" t="n">
        <v>1</v>
      </c>
      <c r="S81" s="419" t="str">
        <f aca="false">$K81</f>
        <v>1.3.1.1.1.1</v>
      </c>
      <c r="T81" s="562" t="s">
        <v>563</v>
      </c>
      <c r="U81" s="421"/>
      <c r="V81" s="438"/>
      <c r="W81" s="438"/>
      <c r="X81" s="438"/>
      <c r="Y81" s="438"/>
      <c r="Z81" s="438"/>
      <c r="AA81" s="438"/>
      <c r="AB81" s="438"/>
      <c r="AC81" s="441"/>
      <c r="AD81" s="203" t="s">
        <v>63</v>
      </c>
      <c r="AE81" s="441"/>
      <c r="AF81" s="203" t="s">
        <v>63</v>
      </c>
      <c r="AG81" s="438"/>
      <c r="AH81" s="438" t="n">
        <v>40.44</v>
      </c>
      <c r="AI81" s="438"/>
      <c r="AJ81" s="438"/>
      <c r="AK81" s="438" t="n">
        <v>2254.76</v>
      </c>
      <c r="AL81" s="438"/>
      <c r="AM81" s="438"/>
      <c r="AN81" s="441" t="n">
        <v>45292.3206134259</v>
      </c>
      <c r="AO81" s="203" t="s">
        <v>63</v>
      </c>
      <c r="AP81" s="441" t="n">
        <v>45473.3207175926</v>
      </c>
      <c r="AQ81" s="203" t="s">
        <v>63</v>
      </c>
      <c r="AR81" s="438"/>
      <c r="AS81" s="438" t="n">
        <v>49.34</v>
      </c>
      <c r="AT81" s="438"/>
      <c r="AU81" s="438"/>
      <c r="AV81" s="438" t="n">
        <v>2254.76</v>
      </c>
      <c r="AW81" s="438"/>
      <c r="AX81" s="438"/>
      <c r="AY81" s="441" t="n">
        <v>45474.3209259259</v>
      </c>
      <c r="AZ81" s="203" t="s">
        <v>63</v>
      </c>
      <c r="BA81" s="441" t="n">
        <v>45657.3212731482</v>
      </c>
      <c r="BB81" s="203" t="s">
        <v>63</v>
      </c>
      <c r="BC81" s="438"/>
      <c r="BD81" s="438" t="n">
        <v>42.82</v>
      </c>
      <c r="BE81" s="438"/>
      <c r="BF81" s="438"/>
      <c r="BG81" s="438" t="n">
        <v>2254.76</v>
      </c>
      <c r="BH81" s="438"/>
      <c r="BI81" s="438"/>
      <c r="BJ81" s="441" t="n">
        <v>45658.3214814815</v>
      </c>
      <c r="BK81" s="203" t="s">
        <v>63</v>
      </c>
      <c r="BL81" s="441" t="n">
        <v>45838.3216898148</v>
      </c>
      <c r="BM81" s="203" t="s">
        <v>63</v>
      </c>
      <c r="BN81" s="438"/>
      <c r="BO81" s="438" t="n">
        <v>37.23</v>
      </c>
      <c r="BP81" s="438"/>
      <c r="BQ81" s="438"/>
      <c r="BR81" s="438" t="n">
        <v>2576.54</v>
      </c>
      <c r="BS81" s="438"/>
      <c r="BT81" s="438"/>
      <c r="BU81" s="441" t="n">
        <v>45839.3219212963</v>
      </c>
      <c r="BV81" s="203" t="s">
        <v>63</v>
      </c>
      <c r="BW81" s="441" t="n">
        <v>46022.3221875</v>
      </c>
      <c r="BX81" s="203" t="s">
        <v>63</v>
      </c>
      <c r="BY81" s="438"/>
      <c r="BZ81" s="438" t="n">
        <v>37.23</v>
      </c>
      <c r="CA81" s="438"/>
      <c r="CB81" s="438"/>
      <c r="CC81" s="438" t="n">
        <v>2508.9</v>
      </c>
      <c r="CD81" s="438"/>
      <c r="CE81" s="438"/>
      <c r="CF81" s="441" t="n">
        <v>46023.3224074074</v>
      </c>
      <c r="CG81" s="203" t="s">
        <v>63</v>
      </c>
      <c r="CH81" s="441" t="n">
        <v>46203.3229166667</v>
      </c>
      <c r="CI81" s="203" t="s">
        <v>63</v>
      </c>
      <c r="CJ81" s="438"/>
      <c r="CK81" s="438" t="n">
        <v>38.41</v>
      </c>
      <c r="CL81" s="438"/>
      <c r="CM81" s="438"/>
      <c r="CN81" s="438" t="n">
        <v>2508.9</v>
      </c>
      <c r="CO81" s="438"/>
      <c r="CP81" s="438"/>
      <c r="CQ81" s="441" t="n">
        <v>46204.3231712963</v>
      </c>
      <c r="CR81" s="203" t="s">
        <v>63</v>
      </c>
      <c r="CS81" s="441" t="n">
        <v>46387.3234027778</v>
      </c>
      <c r="CT81" s="203" t="s">
        <v>63</v>
      </c>
      <c r="CU81" s="438"/>
      <c r="CV81" s="438" t="n">
        <v>38.41</v>
      </c>
      <c r="CW81" s="438"/>
      <c r="CX81" s="438"/>
      <c r="CY81" s="438" t="n">
        <v>2508.9</v>
      </c>
      <c r="CZ81" s="438"/>
      <c r="DA81" s="438"/>
      <c r="DB81" s="441" t="n">
        <v>46388.3237268519</v>
      </c>
      <c r="DC81" s="203" t="s">
        <v>63</v>
      </c>
      <c r="DD81" s="441" t="n">
        <v>46568.3239351852</v>
      </c>
      <c r="DE81" s="203" t="s">
        <v>63</v>
      </c>
      <c r="DF81" s="438"/>
      <c r="DG81" s="438" t="n">
        <v>40.14</v>
      </c>
      <c r="DH81" s="438"/>
      <c r="DI81" s="438"/>
      <c r="DJ81" s="438" t="n">
        <v>2736.11</v>
      </c>
      <c r="DK81" s="438"/>
      <c r="DL81" s="438"/>
      <c r="DM81" s="441" t="n">
        <v>46569.324537037</v>
      </c>
      <c r="DN81" s="203" t="s">
        <v>63</v>
      </c>
      <c r="DO81" s="441" t="n">
        <v>46752.324837963</v>
      </c>
      <c r="DP81" s="203" t="s">
        <v>63</v>
      </c>
      <c r="DQ81" s="438"/>
      <c r="DR81" s="438" t="n">
        <v>40.14</v>
      </c>
      <c r="DS81" s="438"/>
      <c r="DT81" s="438"/>
      <c r="DU81" s="438" t="n">
        <v>2693.56</v>
      </c>
      <c r="DV81" s="438"/>
      <c r="DW81" s="438"/>
      <c r="DX81" s="441" t="n">
        <v>46753.3250694444</v>
      </c>
      <c r="DY81" s="203" t="s">
        <v>63</v>
      </c>
      <c r="DZ81" s="441" t="n">
        <v>46934.3252777778</v>
      </c>
      <c r="EA81" s="203" t="s">
        <v>63</v>
      </c>
      <c r="EB81" s="438"/>
      <c r="EC81" s="438" t="n">
        <v>41.95</v>
      </c>
      <c r="ED81" s="438"/>
      <c r="EE81" s="438"/>
      <c r="EF81" s="438" t="n">
        <v>2693.56</v>
      </c>
      <c r="EG81" s="438"/>
      <c r="EH81" s="438"/>
      <c r="EI81" s="441" t="n">
        <v>46935.3255555556</v>
      </c>
      <c r="EJ81" s="203" t="s">
        <v>63</v>
      </c>
      <c r="EK81" s="441" t="n">
        <v>47118.3257523148</v>
      </c>
      <c r="EL81" s="203" t="s">
        <v>63</v>
      </c>
      <c r="EM81" s="563"/>
      <c r="EN81" s="56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81" s="47" t="e">
        <f aca="false">strcheckdate(V82:EM82)</f>
        <v>#NAME?</v>
      </c>
      <c r="EP81" s="117"/>
      <c r="EQ81" s="117" t="str">
        <f aca="false">IF(T81="","",T81)</f>
        <v>От РК-8 через тепловые сети МУП "Тепловые сети"</v>
      </c>
      <c r="ER81" s="117"/>
      <c r="ES81" s="117"/>
    </row>
    <row r="82" s="53" customFormat="true" ht="14.25" hidden="false" customHeight="true" outlineLevel="0" collapsed="false">
      <c r="A82" s="415"/>
      <c r="B82" s="415"/>
      <c r="C82" s="415"/>
      <c r="D82" s="415"/>
      <c r="E82" s="416"/>
      <c r="F82" s="416" t="s">
        <v>99</v>
      </c>
      <c r="G82" s="416"/>
      <c r="H82" s="416"/>
      <c r="I82" s="431"/>
      <c r="J82" s="431"/>
      <c r="K82" s="431"/>
      <c r="L82" s="417"/>
      <c r="M82" s="51"/>
      <c r="N82" s="51"/>
      <c r="O82" s="51"/>
      <c r="P82" s="120"/>
      <c r="Q82" s="120"/>
      <c r="R82" s="435"/>
      <c r="S82" s="396"/>
      <c r="T82" s="421"/>
      <c r="U82" s="421"/>
      <c r="V82" s="439"/>
      <c r="W82" s="439"/>
      <c r="X82" s="439"/>
      <c r="Y82" s="439"/>
      <c r="Z82" s="439"/>
      <c r="AA82" s="439"/>
      <c r="AB82" s="439"/>
      <c r="AC82" s="441"/>
      <c r="AD82" s="203"/>
      <c r="AE82" s="441"/>
      <c r="AF82" s="203"/>
      <c r="AG82" s="439"/>
      <c r="AH82" s="439"/>
      <c r="AI82" s="439"/>
      <c r="AJ82" s="439"/>
      <c r="AK82" s="439"/>
      <c r="AL82" s="439"/>
      <c r="AM82" s="439"/>
      <c r="AN82" s="441"/>
      <c r="AO82" s="203"/>
      <c r="AP82" s="441"/>
      <c r="AQ82" s="203"/>
      <c r="AR82" s="439"/>
      <c r="AS82" s="439"/>
      <c r="AT82" s="439"/>
      <c r="AU82" s="439"/>
      <c r="AV82" s="439"/>
      <c r="AW82" s="439"/>
      <c r="AX82" s="439"/>
      <c r="AY82" s="441"/>
      <c r="AZ82" s="203"/>
      <c r="BA82" s="441"/>
      <c r="BB82" s="203"/>
      <c r="BC82" s="439"/>
      <c r="BD82" s="439"/>
      <c r="BE82" s="439"/>
      <c r="BF82" s="439"/>
      <c r="BG82" s="439"/>
      <c r="BH82" s="439"/>
      <c r="BI82" s="439"/>
      <c r="BJ82" s="441"/>
      <c r="BK82" s="203"/>
      <c r="BL82" s="441"/>
      <c r="BM82" s="203"/>
      <c r="BN82" s="439"/>
      <c r="BO82" s="439"/>
      <c r="BP82" s="439"/>
      <c r="BQ82" s="439"/>
      <c r="BR82" s="439"/>
      <c r="BS82" s="439"/>
      <c r="BT82" s="439"/>
      <c r="BU82" s="441"/>
      <c r="BV82" s="203"/>
      <c r="BW82" s="441"/>
      <c r="BX82" s="203"/>
      <c r="BY82" s="439"/>
      <c r="BZ82" s="439"/>
      <c r="CA82" s="439"/>
      <c r="CB82" s="439"/>
      <c r="CC82" s="439"/>
      <c r="CD82" s="439"/>
      <c r="CE82" s="439"/>
      <c r="CF82" s="441"/>
      <c r="CG82" s="203"/>
      <c r="CH82" s="441"/>
      <c r="CI82" s="203"/>
      <c r="CJ82" s="439"/>
      <c r="CK82" s="439"/>
      <c r="CL82" s="439"/>
      <c r="CM82" s="439"/>
      <c r="CN82" s="439"/>
      <c r="CO82" s="439"/>
      <c r="CP82" s="439"/>
      <c r="CQ82" s="441"/>
      <c r="CR82" s="203"/>
      <c r="CS82" s="441"/>
      <c r="CT82" s="203"/>
      <c r="CU82" s="439"/>
      <c r="CV82" s="439"/>
      <c r="CW82" s="439"/>
      <c r="CX82" s="439"/>
      <c r="CY82" s="439"/>
      <c r="CZ82" s="439"/>
      <c r="DA82" s="439"/>
      <c r="DB82" s="441"/>
      <c r="DC82" s="203"/>
      <c r="DD82" s="441"/>
      <c r="DE82" s="203"/>
      <c r="DF82" s="439"/>
      <c r="DG82" s="439"/>
      <c r="DH82" s="439"/>
      <c r="DI82" s="439"/>
      <c r="DJ82" s="439"/>
      <c r="DK82" s="439"/>
      <c r="DL82" s="439"/>
      <c r="DM82" s="441"/>
      <c r="DN82" s="203"/>
      <c r="DO82" s="441"/>
      <c r="DP82" s="203"/>
      <c r="DQ82" s="439"/>
      <c r="DR82" s="439"/>
      <c r="DS82" s="439"/>
      <c r="DT82" s="439"/>
      <c r="DU82" s="439"/>
      <c r="DV82" s="439"/>
      <c r="DW82" s="439"/>
      <c r="DX82" s="441"/>
      <c r="DY82" s="203"/>
      <c r="DZ82" s="441"/>
      <c r="EA82" s="203"/>
      <c r="EB82" s="439"/>
      <c r="EC82" s="439"/>
      <c r="ED82" s="439"/>
      <c r="EE82" s="439"/>
      <c r="EF82" s="439"/>
      <c r="EG82" s="439"/>
      <c r="EH82" s="439"/>
      <c r="EI82" s="441"/>
      <c r="EJ82" s="203"/>
      <c r="EK82" s="441"/>
      <c r="EL82" s="203"/>
      <c r="EM82" s="565"/>
      <c r="EN82" s="564"/>
      <c r="EO82" s="47"/>
      <c r="EP82" s="117"/>
      <c r="EQ82" s="117" t="str">
        <f aca="false">IF(T82="","",T82)</f>
        <v/>
      </c>
      <c r="ER82" s="117"/>
      <c r="ES82" s="117"/>
    </row>
    <row r="83" s="53" customFormat="true" ht="21" hidden="false" customHeight="true" outlineLevel="0" collapsed="false">
      <c r="A83" s="415"/>
      <c r="B83" s="415"/>
      <c r="C83" s="415"/>
      <c r="D83" s="415"/>
      <c r="E83" s="416"/>
      <c r="F83" s="416" t="s">
        <v>99</v>
      </c>
      <c r="G83" s="416"/>
      <c r="H83" s="416"/>
      <c r="I83" s="431"/>
      <c r="J83" s="431"/>
      <c r="K83" s="415"/>
      <c r="L83" s="417"/>
      <c r="M83" s="51"/>
      <c r="N83" s="51"/>
      <c r="O83" s="51"/>
      <c r="P83" s="120"/>
      <c r="Q83" s="120"/>
      <c r="R83" s="432"/>
      <c r="S83" s="444"/>
      <c r="T83" s="447" t="s">
        <v>500</v>
      </c>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c r="BM83" s="193"/>
      <c r="BN83" s="193"/>
      <c r="BO83" s="193"/>
      <c r="BP83" s="193"/>
      <c r="BQ83" s="193"/>
      <c r="BR83" s="193"/>
      <c r="BS83" s="193"/>
      <c r="BT83" s="193"/>
      <c r="BU83" s="193"/>
      <c r="BV83" s="193"/>
      <c r="BW83" s="193"/>
      <c r="BX83" s="193"/>
      <c r="BY83" s="193"/>
      <c r="BZ83" s="193"/>
      <c r="CA83" s="193"/>
      <c r="CB83" s="193"/>
      <c r="CC83" s="193"/>
      <c r="CD83" s="193"/>
      <c r="CE83" s="193"/>
      <c r="CF83" s="193"/>
      <c r="CG83" s="193"/>
      <c r="CH83" s="193"/>
      <c r="CI83" s="193"/>
      <c r="CJ83" s="193"/>
      <c r="CK83" s="193"/>
      <c r="CL83" s="193"/>
      <c r="CM83" s="193"/>
      <c r="CN83" s="193"/>
      <c r="CO83" s="193"/>
      <c r="CP83" s="193"/>
      <c r="CQ83" s="193"/>
      <c r="CR83" s="193"/>
      <c r="CS83" s="193"/>
      <c r="CT83" s="193"/>
      <c r="CU83" s="193"/>
      <c r="CV83" s="193"/>
      <c r="CW83" s="193"/>
      <c r="CX83" s="193"/>
      <c r="CY83" s="193"/>
      <c r="CZ83" s="193"/>
      <c r="DA83" s="193"/>
      <c r="DB83" s="193"/>
      <c r="DC83" s="193"/>
      <c r="DD83" s="193"/>
      <c r="DE83" s="193"/>
      <c r="DF83" s="193"/>
      <c r="DG83" s="193"/>
      <c r="DH83" s="193"/>
      <c r="DI83" s="193"/>
      <c r="DJ83" s="193"/>
      <c r="DK83" s="193"/>
      <c r="DL83" s="193"/>
      <c r="DM83" s="193"/>
      <c r="DN83" s="193"/>
      <c r="DO83" s="193"/>
      <c r="DP83" s="193"/>
      <c r="DQ83" s="193"/>
      <c r="DR83" s="193"/>
      <c r="DS83" s="193"/>
      <c r="DT83" s="193"/>
      <c r="DU83" s="193"/>
      <c r="DV83" s="193"/>
      <c r="DW83" s="193"/>
      <c r="DX83" s="193"/>
      <c r="DY83" s="193"/>
      <c r="DZ83" s="193"/>
      <c r="EA83" s="193"/>
      <c r="EB83" s="193"/>
      <c r="EC83" s="193"/>
      <c r="ED83" s="193"/>
      <c r="EE83" s="193"/>
      <c r="EF83" s="193"/>
      <c r="EG83" s="193"/>
      <c r="EH83" s="193"/>
      <c r="EI83" s="193"/>
      <c r="EJ83" s="193"/>
      <c r="EK83" s="193"/>
      <c r="EL83" s="193"/>
      <c r="EM83" s="193"/>
      <c r="EN83" s="424" t="s">
        <v>501</v>
      </c>
      <c r="EO83" s="47"/>
      <c r="EP83" s="117"/>
      <c r="EQ83" s="117" t="str">
        <f aca="false">IF(T83="","",T83)</f>
        <v>Добавить значение признака дифференциации</v>
      </c>
      <c r="ER83" s="117"/>
      <c r="ES83" s="117"/>
    </row>
    <row r="84" s="53" customFormat="true" ht="23.25" hidden="false" customHeight="true" outlineLevel="0" collapsed="false">
      <c r="A84" s="415"/>
      <c r="B84" s="415"/>
      <c r="C84" s="415"/>
      <c r="D84" s="415"/>
      <c r="E84" s="416"/>
      <c r="F84" s="416"/>
      <c r="G84" s="416"/>
      <c r="H84" s="416"/>
      <c r="I84" s="431"/>
      <c r="J84" s="431" t="str">
        <f aca="false">I79&amp;".2"</f>
        <v>1.3.1.1.2</v>
      </c>
      <c r="K84" s="415"/>
      <c r="L84" s="417" t="s">
        <v>422</v>
      </c>
      <c r="M84" s="51"/>
      <c r="N84" s="51"/>
      <c r="O84" s="51"/>
      <c r="P84" s="120"/>
      <c r="Q84" s="137" t="s">
        <v>100</v>
      </c>
      <c r="R84" s="435"/>
      <c r="S84" s="419" t="str">
        <f aca="false">$J84</f>
        <v>1.3.1.1.2</v>
      </c>
      <c r="T84" s="436" t="s">
        <v>423</v>
      </c>
      <c r="U84" s="421"/>
      <c r="V84" s="434"/>
      <c r="W84" s="434"/>
      <c r="X84" s="434"/>
      <c r="Y84" s="434"/>
      <c r="Z84" s="434"/>
      <c r="AA84" s="434"/>
      <c r="AB84" s="434"/>
      <c r="AC84" s="434"/>
      <c r="AD84" s="434"/>
      <c r="AE84" s="434"/>
      <c r="AF84" s="434"/>
      <c r="AG84" s="434" t="s">
        <v>561</v>
      </c>
      <c r="AH84" s="434"/>
      <c r="AI84" s="434"/>
      <c r="AJ84" s="434"/>
      <c r="AK84" s="434"/>
      <c r="AL84" s="434"/>
      <c r="AM84" s="434"/>
      <c r="AN84" s="434"/>
      <c r="AO84" s="434"/>
      <c r="AP84" s="434"/>
      <c r="AQ84" s="434"/>
      <c r="AR84" s="434"/>
      <c r="AS84" s="434"/>
      <c r="AT84" s="434"/>
      <c r="AU84" s="434"/>
      <c r="AV84" s="434"/>
      <c r="AW84" s="434"/>
      <c r="AX84" s="434"/>
      <c r="AY84" s="434"/>
      <c r="AZ84" s="434"/>
      <c r="BA84" s="434"/>
      <c r="BB84" s="434"/>
      <c r="BC84" s="434"/>
      <c r="BD84" s="434"/>
      <c r="BE84" s="434"/>
      <c r="BF84" s="434"/>
      <c r="BG84" s="434"/>
      <c r="BH84" s="434"/>
      <c r="BI84" s="434"/>
      <c r="BJ84" s="434"/>
      <c r="BK84" s="434"/>
      <c r="BL84" s="434"/>
      <c r="BM84" s="434"/>
      <c r="BN84" s="434"/>
      <c r="BO84" s="434"/>
      <c r="BP84" s="434"/>
      <c r="BQ84" s="434"/>
      <c r="BR84" s="434"/>
      <c r="BS84" s="434"/>
      <c r="BT84" s="434"/>
      <c r="BU84" s="434"/>
      <c r="BV84" s="434"/>
      <c r="BW84" s="434"/>
      <c r="BX84" s="434"/>
      <c r="BY84" s="434"/>
      <c r="BZ84" s="434"/>
      <c r="CA84" s="434"/>
      <c r="CB84" s="434"/>
      <c r="CC84" s="434"/>
      <c r="CD84" s="434"/>
      <c r="CE84" s="434"/>
      <c r="CF84" s="434"/>
      <c r="CG84" s="434"/>
      <c r="CH84" s="434"/>
      <c r="CI84" s="434"/>
      <c r="CJ84" s="434"/>
      <c r="CK84" s="434"/>
      <c r="CL84" s="434"/>
      <c r="CM84" s="434"/>
      <c r="CN84" s="434"/>
      <c r="CO84" s="434"/>
      <c r="CP84" s="434"/>
      <c r="CQ84" s="434"/>
      <c r="CR84" s="434"/>
      <c r="CS84" s="434"/>
      <c r="CT84" s="434"/>
      <c r="CU84" s="434"/>
      <c r="CV84" s="434"/>
      <c r="CW84" s="434"/>
      <c r="CX84" s="434"/>
      <c r="CY84" s="434"/>
      <c r="CZ84" s="434"/>
      <c r="DA84" s="434"/>
      <c r="DB84" s="434"/>
      <c r="DC84" s="434"/>
      <c r="DD84" s="434"/>
      <c r="DE84" s="434"/>
      <c r="DF84" s="434"/>
      <c r="DG84" s="434"/>
      <c r="DH84" s="434"/>
      <c r="DI84" s="434"/>
      <c r="DJ84" s="434"/>
      <c r="DK84" s="434"/>
      <c r="DL84" s="434"/>
      <c r="DM84" s="434"/>
      <c r="DN84" s="434"/>
      <c r="DO84" s="434"/>
      <c r="DP84" s="434"/>
      <c r="DQ84" s="434"/>
      <c r="DR84" s="434"/>
      <c r="DS84" s="434"/>
      <c r="DT84" s="434"/>
      <c r="DU84" s="434"/>
      <c r="DV84" s="434"/>
      <c r="DW84" s="434"/>
      <c r="DX84" s="434"/>
      <c r="DY84" s="434"/>
      <c r="DZ84" s="434"/>
      <c r="EA84" s="434"/>
      <c r="EB84" s="434"/>
      <c r="EC84" s="434"/>
      <c r="ED84" s="434"/>
      <c r="EE84" s="434"/>
      <c r="EF84" s="434"/>
      <c r="EG84" s="434"/>
      <c r="EH84" s="434"/>
      <c r="EI84" s="434"/>
      <c r="EJ84" s="434"/>
      <c r="EK84" s="434"/>
      <c r="EL84" s="434"/>
      <c r="EM84" s="434"/>
      <c r="EN84" s="514" t="s">
        <v>499</v>
      </c>
      <c r="EO84" s="47"/>
      <c r="EP84" s="117"/>
      <c r="EQ84" s="117" t="str">
        <f aca="false">IF(T84="","",T84)</f>
        <v>Группа потребителей</v>
      </c>
      <c r="ER84" s="117"/>
      <c r="ES84" s="117"/>
    </row>
    <row r="85" s="53" customFormat="true" ht="23.25" hidden="false" customHeight="true" outlineLevel="0" collapsed="false">
      <c r="A85" s="415"/>
      <c r="B85" s="415"/>
      <c r="C85" s="415"/>
      <c r="D85" s="415"/>
      <c r="E85" s="416"/>
      <c r="F85" s="416"/>
      <c r="G85" s="416"/>
      <c r="H85" s="416"/>
      <c r="I85" s="431"/>
      <c r="J85" s="431" t="str">
        <f aca="false">I79&amp;".1"</f>
        <v>1.3.1.1.1</v>
      </c>
      <c r="K85" s="431" t="str">
        <f aca="false">J84&amp;".1"</f>
        <v>1.3.1.1.2.1</v>
      </c>
      <c r="L85" s="417"/>
      <c r="M85" s="51"/>
      <c r="N85" s="51"/>
      <c r="O85" s="51"/>
      <c r="P85" s="120"/>
      <c r="Q85" s="120"/>
      <c r="R85" s="435" t="n">
        <v>1</v>
      </c>
      <c r="S85" s="419" t="str">
        <f aca="false">$K85</f>
        <v>1.3.1.1.2.1</v>
      </c>
      <c r="T85" s="562" t="s">
        <v>563</v>
      </c>
      <c r="U85" s="421"/>
      <c r="V85" s="438"/>
      <c r="W85" s="438"/>
      <c r="X85" s="438"/>
      <c r="Y85" s="438"/>
      <c r="Z85" s="438"/>
      <c r="AA85" s="438"/>
      <c r="AB85" s="438"/>
      <c r="AC85" s="441"/>
      <c r="AD85" s="203" t="s">
        <v>63</v>
      </c>
      <c r="AE85" s="441"/>
      <c r="AF85" s="203" t="s">
        <v>63</v>
      </c>
      <c r="AG85" s="438"/>
      <c r="AH85" s="438" t="n">
        <v>48.53</v>
      </c>
      <c r="AI85" s="438"/>
      <c r="AJ85" s="438"/>
      <c r="AK85" s="438" t="n">
        <v>2705.71</v>
      </c>
      <c r="AL85" s="438"/>
      <c r="AM85" s="438"/>
      <c r="AN85" s="441" t="n">
        <v>45292.3206597222</v>
      </c>
      <c r="AO85" s="203" t="s">
        <v>63</v>
      </c>
      <c r="AP85" s="441" t="n">
        <v>45473.320787037</v>
      </c>
      <c r="AQ85" s="203" t="s">
        <v>63</v>
      </c>
      <c r="AR85" s="438"/>
      <c r="AS85" s="438" t="n">
        <v>59.21</v>
      </c>
      <c r="AT85" s="438"/>
      <c r="AU85" s="438"/>
      <c r="AV85" s="438" t="n">
        <v>2705.71</v>
      </c>
      <c r="AW85" s="438"/>
      <c r="AX85" s="438"/>
      <c r="AY85" s="441" t="n">
        <v>45474.3211458333</v>
      </c>
      <c r="AZ85" s="203" t="s">
        <v>63</v>
      </c>
      <c r="BA85" s="441" t="n">
        <v>45657.3213541667</v>
      </c>
      <c r="BB85" s="203" t="s">
        <v>63</v>
      </c>
      <c r="BC85" s="438"/>
      <c r="BD85" s="438" t="n">
        <v>51.38</v>
      </c>
      <c r="BE85" s="438"/>
      <c r="BF85" s="438"/>
      <c r="BG85" s="438" t="n">
        <v>2705.71</v>
      </c>
      <c r="BH85" s="438"/>
      <c r="BI85" s="438"/>
      <c r="BJ85" s="441" t="n">
        <v>45658.3215509259</v>
      </c>
      <c r="BK85" s="203" t="s">
        <v>63</v>
      </c>
      <c r="BL85" s="441" t="n">
        <v>45838.3217708333</v>
      </c>
      <c r="BM85" s="203" t="s">
        <v>63</v>
      </c>
      <c r="BN85" s="438"/>
      <c r="BO85" s="438" t="n">
        <v>44.68</v>
      </c>
      <c r="BP85" s="438"/>
      <c r="BQ85" s="438"/>
      <c r="BR85" s="438" t="n">
        <v>3091.85</v>
      </c>
      <c r="BS85" s="438"/>
      <c r="BT85" s="438"/>
      <c r="BU85" s="441" t="n">
        <v>45839.322025463</v>
      </c>
      <c r="BV85" s="203" t="s">
        <v>63</v>
      </c>
      <c r="BW85" s="441" t="n">
        <v>46022.3222685185</v>
      </c>
      <c r="BX85" s="203" t="s">
        <v>63</v>
      </c>
      <c r="BY85" s="438"/>
      <c r="BZ85" s="438" t="n">
        <v>44.68</v>
      </c>
      <c r="CA85" s="438"/>
      <c r="CB85" s="438"/>
      <c r="CC85" s="438" t="n">
        <v>3010.68</v>
      </c>
      <c r="CD85" s="438"/>
      <c r="CE85" s="438"/>
      <c r="CF85" s="441" t="n">
        <v>46023.3227546296</v>
      </c>
      <c r="CG85" s="203" t="s">
        <v>63</v>
      </c>
      <c r="CH85" s="441" t="n">
        <v>46203.3229976852</v>
      </c>
      <c r="CI85" s="203" t="s">
        <v>63</v>
      </c>
      <c r="CJ85" s="438"/>
      <c r="CK85" s="438" t="n">
        <v>46.09</v>
      </c>
      <c r="CL85" s="438"/>
      <c r="CM85" s="438"/>
      <c r="CN85" s="438" t="n">
        <v>3010.68</v>
      </c>
      <c r="CO85" s="438"/>
      <c r="CP85" s="438"/>
      <c r="CQ85" s="441" t="n">
        <v>46204.323287037</v>
      </c>
      <c r="CR85" s="203" t="s">
        <v>63</v>
      </c>
      <c r="CS85" s="441" t="n">
        <v>46387.3234722222</v>
      </c>
      <c r="CT85" s="203" t="s">
        <v>63</v>
      </c>
      <c r="CU85" s="438"/>
      <c r="CV85" s="438" t="n">
        <v>46.09</v>
      </c>
      <c r="CW85" s="438"/>
      <c r="CX85" s="438"/>
      <c r="CY85" s="438" t="n">
        <v>3010.68</v>
      </c>
      <c r="CZ85" s="438"/>
      <c r="DA85" s="438"/>
      <c r="DB85" s="441" t="n">
        <v>46388.3238657407</v>
      </c>
      <c r="DC85" s="203" t="s">
        <v>63</v>
      </c>
      <c r="DD85" s="441" t="n">
        <v>46568.3240393519</v>
      </c>
      <c r="DE85" s="203" t="s">
        <v>63</v>
      </c>
      <c r="DF85" s="438"/>
      <c r="DG85" s="438" t="n">
        <v>48.17</v>
      </c>
      <c r="DH85" s="438"/>
      <c r="DI85" s="438"/>
      <c r="DJ85" s="438" t="n">
        <v>3283.33</v>
      </c>
      <c r="DK85" s="438"/>
      <c r="DL85" s="438"/>
      <c r="DM85" s="441" t="n">
        <v>46569.3247222222</v>
      </c>
      <c r="DN85" s="203" t="s">
        <v>63</v>
      </c>
      <c r="DO85" s="441" t="n">
        <v>46752.3249305556</v>
      </c>
      <c r="DP85" s="203" t="s">
        <v>63</v>
      </c>
      <c r="DQ85" s="438"/>
      <c r="DR85" s="438" t="n">
        <v>48.17</v>
      </c>
      <c r="DS85" s="438"/>
      <c r="DT85" s="438"/>
      <c r="DU85" s="438" t="n">
        <v>3232.27</v>
      </c>
      <c r="DV85" s="438"/>
      <c r="DW85" s="438"/>
      <c r="DX85" s="441" t="n">
        <v>46753.3251851852</v>
      </c>
      <c r="DY85" s="203" t="s">
        <v>63</v>
      </c>
      <c r="DZ85" s="441" t="n">
        <v>46934.3253819444</v>
      </c>
      <c r="EA85" s="203" t="s">
        <v>63</v>
      </c>
      <c r="EB85" s="438"/>
      <c r="EC85" s="438" t="n">
        <v>50.34</v>
      </c>
      <c r="ED85" s="438"/>
      <c r="EE85" s="438"/>
      <c r="EF85" s="438" t="n">
        <v>3232.27</v>
      </c>
      <c r="EG85" s="438"/>
      <c r="EH85" s="438"/>
      <c r="EI85" s="441" t="n">
        <v>46935.3256481482</v>
      </c>
      <c r="EJ85" s="203" t="s">
        <v>63</v>
      </c>
      <c r="EK85" s="441" t="n">
        <v>47118.3258564815</v>
      </c>
      <c r="EL85" s="203" t="s">
        <v>63</v>
      </c>
      <c r="EM85" s="563"/>
      <c r="EN85" s="56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85" s="47" t="e">
        <f aca="false">strcheckdate(V86:EM86)</f>
        <v>#NAME?</v>
      </c>
      <c r="EP85" s="117"/>
      <c r="EQ85" s="117" t="str">
        <f aca="false">IF(T85="","",T85)</f>
        <v>От РК-8 через тепловые сети МУП "Тепловые сети"</v>
      </c>
      <c r="ER85" s="117"/>
      <c r="ES85" s="117"/>
    </row>
    <row r="86" s="53" customFormat="true" ht="14.25" hidden="false" customHeight="true" outlineLevel="0" collapsed="false">
      <c r="A86" s="415"/>
      <c r="B86" s="415"/>
      <c r="C86" s="415"/>
      <c r="D86" s="415"/>
      <c r="E86" s="416"/>
      <c r="F86" s="416"/>
      <c r="G86" s="416"/>
      <c r="H86" s="416"/>
      <c r="I86" s="431"/>
      <c r="J86" s="431" t="str">
        <f aca="false">I79&amp;".1"</f>
        <v>1.3.1.1.1</v>
      </c>
      <c r="K86" s="431"/>
      <c r="L86" s="417"/>
      <c r="M86" s="51"/>
      <c r="N86" s="51"/>
      <c r="O86" s="51"/>
      <c r="P86" s="120"/>
      <c r="Q86" s="120"/>
      <c r="R86" s="435"/>
      <c r="S86" s="396"/>
      <c r="T86" s="421"/>
      <c r="U86" s="421"/>
      <c r="V86" s="439"/>
      <c r="W86" s="439"/>
      <c r="X86" s="439"/>
      <c r="Y86" s="439"/>
      <c r="Z86" s="439"/>
      <c r="AA86" s="439"/>
      <c r="AB86" s="439"/>
      <c r="AC86" s="441"/>
      <c r="AD86" s="203"/>
      <c r="AE86" s="441"/>
      <c r="AF86" s="203"/>
      <c r="AG86" s="439"/>
      <c r="AH86" s="439"/>
      <c r="AI86" s="439"/>
      <c r="AJ86" s="439"/>
      <c r="AK86" s="439"/>
      <c r="AL86" s="439"/>
      <c r="AM86" s="439"/>
      <c r="AN86" s="441"/>
      <c r="AO86" s="203"/>
      <c r="AP86" s="441"/>
      <c r="AQ86" s="203"/>
      <c r="AR86" s="439"/>
      <c r="AS86" s="439"/>
      <c r="AT86" s="439"/>
      <c r="AU86" s="439"/>
      <c r="AV86" s="439"/>
      <c r="AW86" s="439"/>
      <c r="AX86" s="439"/>
      <c r="AY86" s="441"/>
      <c r="AZ86" s="203"/>
      <c r="BA86" s="441"/>
      <c r="BB86" s="203"/>
      <c r="BC86" s="439"/>
      <c r="BD86" s="439"/>
      <c r="BE86" s="439"/>
      <c r="BF86" s="439"/>
      <c r="BG86" s="439"/>
      <c r="BH86" s="439"/>
      <c r="BI86" s="439"/>
      <c r="BJ86" s="441"/>
      <c r="BK86" s="203"/>
      <c r="BL86" s="441"/>
      <c r="BM86" s="203"/>
      <c r="BN86" s="439"/>
      <c r="BO86" s="439"/>
      <c r="BP86" s="439"/>
      <c r="BQ86" s="439"/>
      <c r="BR86" s="439"/>
      <c r="BS86" s="439"/>
      <c r="BT86" s="439"/>
      <c r="BU86" s="441"/>
      <c r="BV86" s="203"/>
      <c r="BW86" s="441"/>
      <c r="BX86" s="203"/>
      <c r="BY86" s="439"/>
      <c r="BZ86" s="439"/>
      <c r="CA86" s="439"/>
      <c r="CB86" s="439"/>
      <c r="CC86" s="439"/>
      <c r="CD86" s="439"/>
      <c r="CE86" s="439"/>
      <c r="CF86" s="441"/>
      <c r="CG86" s="203"/>
      <c r="CH86" s="441"/>
      <c r="CI86" s="203"/>
      <c r="CJ86" s="439"/>
      <c r="CK86" s="439"/>
      <c r="CL86" s="439"/>
      <c r="CM86" s="439"/>
      <c r="CN86" s="439"/>
      <c r="CO86" s="439"/>
      <c r="CP86" s="439"/>
      <c r="CQ86" s="441"/>
      <c r="CR86" s="203"/>
      <c r="CS86" s="441"/>
      <c r="CT86" s="203"/>
      <c r="CU86" s="439"/>
      <c r="CV86" s="439"/>
      <c r="CW86" s="439"/>
      <c r="CX86" s="439"/>
      <c r="CY86" s="439"/>
      <c r="CZ86" s="439"/>
      <c r="DA86" s="439"/>
      <c r="DB86" s="441"/>
      <c r="DC86" s="203"/>
      <c r="DD86" s="441"/>
      <c r="DE86" s="203"/>
      <c r="DF86" s="439"/>
      <c r="DG86" s="439"/>
      <c r="DH86" s="439"/>
      <c r="DI86" s="439"/>
      <c r="DJ86" s="439"/>
      <c r="DK86" s="439"/>
      <c r="DL86" s="439"/>
      <c r="DM86" s="441"/>
      <c r="DN86" s="203"/>
      <c r="DO86" s="441"/>
      <c r="DP86" s="203"/>
      <c r="DQ86" s="439"/>
      <c r="DR86" s="439"/>
      <c r="DS86" s="439"/>
      <c r="DT86" s="439"/>
      <c r="DU86" s="439"/>
      <c r="DV86" s="439"/>
      <c r="DW86" s="439"/>
      <c r="DX86" s="441"/>
      <c r="DY86" s="203"/>
      <c r="DZ86" s="441"/>
      <c r="EA86" s="203"/>
      <c r="EB86" s="439"/>
      <c r="EC86" s="439"/>
      <c r="ED86" s="439"/>
      <c r="EE86" s="439"/>
      <c r="EF86" s="439"/>
      <c r="EG86" s="439"/>
      <c r="EH86" s="439"/>
      <c r="EI86" s="441"/>
      <c r="EJ86" s="203"/>
      <c r="EK86" s="441"/>
      <c r="EL86" s="203"/>
      <c r="EM86" s="565"/>
      <c r="EN86" s="564"/>
      <c r="EO86" s="47"/>
      <c r="EP86" s="117"/>
      <c r="EQ86" s="117" t="str">
        <f aca="false">IF(T86="","",T86)</f>
        <v/>
      </c>
      <c r="ER86" s="117"/>
      <c r="ES86" s="117"/>
    </row>
    <row r="87" s="53" customFormat="true" ht="21" hidden="false" customHeight="true" outlineLevel="0" collapsed="false">
      <c r="A87" s="415"/>
      <c r="B87" s="415"/>
      <c r="C87" s="415"/>
      <c r="D87" s="415"/>
      <c r="E87" s="416"/>
      <c r="F87" s="416"/>
      <c r="G87" s="416"/>
      <c r="H87" s="416"/>
      <c r="I87" s="431"/>
      <c r="J87" s="431" t="str">
        <f aca="false">I79&amp;".1"</f>
        <v>1.3.1.1.1</v>
      </c>
      <c r="K87" s="415"/>
      <c r="L87" s="417"/>
      <c r="M87" s="51"/>
      <c r="N87" s="51"/>
      <c r="O87" s="51"/>
      <c r="P87" s="120"/>
      <c r="Q87" s="120"/>
      <c r="R87" s="432"/>
      <c r="S87" s="444"/>
      <c r="T87" s="447" t="s">
        <v>500</v>
      </c>
      <c r="U87" s="193"/>
      <c r="V87" s="193"/>
      <c r="W87" s="193"/>
      <c r="X87" s="193"/>
      <c r="Y87" s="193"/>
      <c r="Z87" s="193"/>
      <c r="AA87" s="193"/>
      <c r="AB87" s="193"/>
      <c r="AC87" s="193"/>
      <c r="AD87" s="193"/>
      <c r="AE87" s="193"/>
      <c r="AF87" s="193"/>
      <c r="AG87" s="193"/>
      <c r="AH87" s="193"/>
      <c r="AI87" s="193"/>
      <c r="AJ87" s="193"/>
      <c r="AK87" s="193"/>
      <c r="AL87" s="193"/>
      <c r="AM87" s="193"/>
      <c r="AN87" s="193"/>
      <c r="AO87" s="193"/>
      <c r="AP87" s="193"/>
      <c r="AQ87" s="193"/>
      <c r="AR87" s="193"/>
      <c r="AS87" s="193"/>
      <c r="AT87" s="193"/>
      <c r="AU87" s="193"/>
      <c r="AV87" s="193"/>
      <c r="AW87" s="193"/>
      <c r="AX87" s="193"/>
      <c r="AY87" s="193"/>
      <c r="AZ87" s="193"/>
      <c r="BA87" s="193"/>
      <c r="BB87" s="193"/>
      <c r="BC87" s="193"/>
      <c r="BD87" s="193"/>
      <c r="BE87" s="193"/>
      <c r="BF87" s="193"/>
      <c r="BG87" s="193"/>
      <c r="BH87" s="193"/>
      <c r="BI87" s="193"/>
      <c r="BJ87" s="193"/>
      <c r="BK87" s="193"/>
      <c r="BL87" s="193"/>
      <c r="BM87" s="193"/>
      <c r="BN87" s="193"/>
      <c r="BO87" s="193"/>
      <c r="BP87" s="193"/>
      <c r="BQ87" s="193"/>
      <c r="BR87" s="193"/>
      <c r="BS87" s="193"/>
      <c r="BT87" s="193"/>
      <c r="BU87" s="193"/>
      <c r="BV87" s="193"/>
      <c r="BW87" s="193"/>
      <c r="BX87" s="193"/>
      <c r="BY87" s="193"/>
      <c r="BZ87" s="193"/>
      <c r="CA87" s="193"/>
      <c r="CB87" s="193"/>
      <c r="CC87" s="193"/>
      <c r="CD87" s="193"/>
      <c r="CE87" s="193"/>
      <c r="CF87" s="193"/>
      <c r="CG87" s="193"/>
      <c r="CH87" s="193"/>
      <c r="CI87" s="193"/>
      <c r="CJ87" s="193"/>
      <c r="CK87" s="193"/>
      <c r="CL87" s="193"/>
      <c r="CM87" s="193"/>
      <c r="CN87" s="193"/>
      <c r="CO87" s="193"/>
      <c r="CP87" s="193"/>
      <c r="CQ87" s="193"/>
      <c r="CR87" s="193"/>
      <c r="CS87" s="193"/>
      <c r="CT87" s="193"/>
      <c r="CU87" s="193"/>
      <c r="CV87" s="193"/>
      <c r="CW87" s="193"/>
      <c r="CX87" s="193"/>
      <c r="CY87" s="193"/>
      <c r="CZ87" s="193"/>
      <c r="DA87" s="193"/>
      <c r="DB87" s="193"/>
      <c r="DC87" s="193"/>
      <c r="DD87" s="193"/>
      <c r="DE87" s="193"/>
      <c r="DF87" s="193"/>
      <c r="DG87" s="193"/>
      <c r="DH87" s="193"/>
      <c r="DI87" s="193"/>
      <c r="DJ87" s="193"/>
      <c r="DK87" s="193"/>
      <c r="DL87" s="193"/>
      <c r="DM87" s="193"/>
      <c r="DN87" s="193"/>
      <c r="DO87" s="193"/>
      <c r="DP87" s="193"/>
      <c r="DQ87" s="193"/>
      <c r="DR87" s="193"/>
      <c r="DS87" s="193"/>
      <c r="DT87" s="193"/>
      <c r="DU87" s="193"/>
      <c r="DV87" s="193"/>
      <c r="DW87" s="193"/>
      <c r="DX87" s="193"/>
      <c r="DY87" s="193"/>
      <c r="DZ87" s="193"/>
      <c r="EA87" s="193"/>
      <c r="EB87" s="193"/>
      <c r="EC87" s="193"/>
      <c r="ED87" s="193"/>
      <c r="EE87" s="193"/>
      <c r="EF87" s="193"/>
      <c r="EG87" s="193"/>
      <c r="EH87" s="193"/>
      <c r="EI87" s="193"/>
      <c r="EJ87" s="193"/>
      <c r="EK87" s="193"/>
      <c r="EL87" s="193"/>
      <c r="EM87" s="193"/>
      <c r="EN87" s="424" t="s">
        <v>501</v>
      </c>
      <c r="EO87" s="47"/>
      <c r="EP87" s="117"/>
      <c r="EQ87" s="117" t="str">
        <f aca="false">IF(T87="","",T87)</f>
        <v>Добавить значение признака дифференциации</v>
      </c>
      <c r="ER87" s="117"/>
      <c r="ES87" s="117"/>
    </row>
    <row r="88" s="53" customFormat="true" ht="21" hidden="false" customHeight="true" outlineLevel="0" collapsed="false">
      <c r="A88" s="415"/>
      <c r="B88" s="415"/>
      <c r="C88" s="415"/>
      <c r="D88" s="415"/>
      <c r="E88" s="416"/>
      <c r="F88" s="416" t="s">
        <v>99</v>
      </c>
      <c r="G88" s="416"/>
      <c r="H88" s="416"/>
      <c r="I88" s="431"/>
      <c r="J88" s="415"/>
      <c r="K88" s="415"/>
      <c r="L88" s="417"/>
      <c r="M88" s="51"/>
      <c r="N88" s="51"/>
      <c r="O88" s="51"/>
      <c r="P88" s="120"/>
      <c r="Q88" s="120"/>
      <c r="R88" s="432"/>
      <c r="S88" s="444"/>
      <c r="T88" s="451" t="s">
        <v>428</v>
      </c>
      <c r="U88" s="193"/>
      <c r="V88" s="193"/>
      <c r="W88" s="193"/>
      <c r="X88" s="193"/>
      <c r="Y88" s="193"/>
      <c r="Z88" s="193"/>
      <c r="AA88" s="193"/>
      <c r="AB88" s="193"/>
      <c r="AC88" s="193"/>
      <c r="AD88" s="193"/>
      <c r="AE88" s="193"/>
      <c r="AF88" s="448"/>
      <c r="AG88" s="193"/>
      <c r="AH88" s="193"/>
      <c r="AI88" s="193"/>
      <c r="AJ88" s="193"/>
      <c r="AK88" s="193"/>
      <c r="AL88" s="193"/>
      <c r="AM88" s="193"/>
      <c r="AN88" s="193"/>
      <c r="AO88" s="193"/>
      <c r="AP88" s="193"/>
      <c r="AQ88" s="448"/>
      <c r="AR88" s="193"/>
      <c r="AS88" s="193"/>
      <c r="AT88" s="193"/>
      <c r="AU88" s="193"/>
      <c r="AV88" s="193"/>
      <c r="AW88" s="193"/>
      <c r="AX88" s="193"/>
      <c r="AY88" s="193"/>
      <c r="AZ88" s="193"/>
      <c r="BA88" s="193"/>
      <c r="BB88" s="448"/>
      <c r="BC88" s="193"/>
      <c r="BD88" s="193"/>
      <c r="BE88" s="193"/>
      <c r="BF88" s="193"/>
      <c r="BG88" s="193"/>
      <c r="BH88" s="193"/>
      <c r="BI88" s="193"/>
      <c r="BJ88" s="193"/>
      <c r="BK88" s="193"/>
      <c r="BL88" s="193"/>
      <c r="BM88" s="448"/>
      <c r="BN88" s="193"/>
      <c r="BO88" s="193"/>
      <c r="BP88" s="193"/>
      <c r="BQ88" s="193"/>
      <c r="BR88" s="193"/>
      <c r="BS88" s="193"/>
      <c r="BT88" s="193"/>
      <c r="BU88" s="193"/>
      <c r="BV88" s="193"/>
      <c r="BW88" s="193"/>
      <c r="BX88" s="448"/>
      <c r="BY88" s="193"/>
      <c r="BZ88" s="193"/>
      <c r="CA88" s="193"/>
      <c r="CB88" s="193"/>
      <c r="CC88" s="193"/>
      <c r="CD88" s="193"/>
      <c r="CE88" s="193"/>
      <c r="CF88" s="193"/>
      <c r="CG88" s="193"/>
      <c r="CH88" s="193"/>
      <c r="CI88" s="448"/>
      <c r="CJ88" s="193"/>
      <c r="CK88" s="193"/>
      <c r="CL88" s="193"/>
      <c r="CM88" s="193"/>
      <c r="CN88" s="193"/>
      <c r="CO88" s="193"/>
      <c r="CP88" s="193"/>
      <c r="CQ88" s="193"/>
      <c r="CR88" s="193"/>
      <c r="CS88" s="193"/>
      <c r="CT88" s="448"/>
      <c r="CU88" s="193"/>
      <c r="CV88" s="193"/>
      <c r="CW88" s="193"/>
      <c r="CX88" s="193"/>
      <c r="CY88" s="193"/>
      <c r="CZ88" s="193"/>
      <c r="DA88" s="193"/>
      <c r="DB88" s="193"/>
      <c r="DC88" s="193"/>
      <c r="DD88" s="193"/>
      <c r="DE88" s="448"/>
      <c r="DF88" s="193"/>
      <c r="DG88" s="193"/>
      <c r="DH88" s="193"/>
      <c r="DI88" s="193"/>
      <c r="DJ88" s="193"/>
      <c r="DK88" s="193"/>
      <c r="DL88" s="193"/>
      <c r="DM88" s="193"/>
      <c r="DN88" s="193"/>
      <c r="DO88" s="193"/>
      <c r="DP88" s="448"/>
      <c r="DQ88" s="193"/>
      <c r="DR88" s="193"/>
      <c r="DS88" s="193"/>
      <c r="DT88" s="193"/>
      <c r="DU88" s="193"/>
      <c r="DV88" s="193"/>
      <c r="DW88" s="193"/>
      <c r="DX88" s="193"/>
      <c r="DY88" s="193"/>
      <c r="DZ88" s="193"/>
      <c r="EA88" s="448"/>
      <c r="EB88" s="193"/>
      <c r="EC88" s="193"/>
      <c r="ED88" s="193"/>
      <c r="EE88" s="193"/>
      <c r="EF88" s="193"/>
      <c r="EG88" s="193"/>
      <c r="EH88" s="193"/>
      <c r="EI88" s="193"/>
      <c r="EJ88" s="193"/>
      <c r="EK88" s="193"/>
      <c r="EL88" s="448"/>
      <c r="EM88" s="193"/>
      <c r="EN88" s="566"/>
      <c r="EO88" s="47"/>
      <c r="EP88" s="117"/>
      <c r="EQ88" s="117" t="str">
        <f aca="false">IF(T88="","",T88)</f>
        <v>Добавить группу потребителей</v>
      </c>
      <c r="ER88" s="117"/>
      <c r="ES88" s="117"/>
    </row>
    <row r="89" s="53" customFormat="true" ht="21" hidden="false" customHeight="true" outlineLevel="0" collapsed="false">
      <c r="A89" s="415"/>
      <c r="B89" s="415"/>
      <c r="C89" s="415"/>
      <c r="D89" s="415"/>
      <c r="E89" s="416"/>
      <c r="F89" s="416" t="s">
        <v>99</v>
      </c>
      <c r="G89" s="416"/>
      <c r="H89" s="560"/>
      <c r="I89" s="415"/>
      <c r="J89" s="415"/>
      <c r="K89" s="415"/>
      <c r="L89" s="417"/>
      <c r="M89" s="40"/>
      <c r="N89" s="40"/>
      <c r="O89" s="45"/>
      <c r="P89" s="131"/>
      <c r="Q89" s="450"/>
      <c r="R89" s="418"/>
      <c r="S89" s="444"/>
      <c r="T89" s="567" t="s">
        <v>502</v>
      </c>
      <c r="U89" s="193"/>
      <c r="V89" s="193"/>
      <c r="W89" s="193"/>
      <c r="X89" s="193"/>
      <c r="Y89" s="193"/>
      <c r="Z89" s="193"/>
      <c r="AA89" s="193"/>
      <c r="AB89" s="193"/>
      <c r="AC89" s="193"/>
      <c r="AD89" s="193"/>
      <c r="AE89" s="193"/>
      <c r="AF89" s="448"/>
      <c r="AG89" s="193"/>
      <c r="AH89" s="193"/>
      <c r="AI89" s="193"/>
      <c r="AJ89" s="193"/>
      <c r="AK89" s="193"/>
      <c r="AL89" s="193"/>
      <c r="AM89" s="193"/>
      <c r="AN89" s="193"/>
      <c r="AO89" s="193"/>
      <c r="AP89" s="193"/>
      <c r="AQ89" s="448"/>
      <c r="AR89" s="193"/>
      <c r="AS89" s="193"/>
      <c r="AT89" s="193"/>
      <c r="AU89" s="193"/>
      <c r="AV89" s="193"/>
      <c r="AW89" s="193"/>
      <c r="AX89" s="193"/>
      <c r="AY89" s="193"/>
      <c r="AZ89" s="193"/>
      <c r="BA89" s="193"/>
      <c r="BB89" s="448"/>
      <c r="BC89" s="193"/>
      <c r="BD89" s="193"/>
      <c r="BE89" s="193"/>
      <c r="BF89" s="193"/>
      <c r="BG89" s="193"/>
      <c r="BH89" s="193"/>
      <c r="BI89" s="193"/>
      <c r="BJ89" s="193"/>
      <c r="BK89" s="193"/>
      <c r="BL89" s="193"/>
      <c r="BM89" s="448"/>
      <c r="BN89" s="193"/>
      <c r="BO89" s="193"/>
      <c r="BP89" s="193"/>
      <c r="BQ89" s="193"/>
      <c r="BR89" s="193"/>
      <c r="BS89" s="193"/>
      <c r="BT89" s="193"/>
      <c r="BU89" s="193"/>
      <c r="BV89" s="193"/>
      <c r="BW89" s="193"/>
      <c r="BX89" s="448"/>
      <c r="BY89" s="193"/>
      <c r="BZ89" s="193"/>
      <c r="CA89" s="193"/>
      <c r="CB89" s="193"/>
      <c r="CC89" s="193"/>
      <c r="CD89" s="193"/>
      <c r="CE89" s="193"/>
      <c r="CF89" s="193"/>
      <c r="CG89" s="193"/>
      <c r="CH89" s="193"/>
      <c r="CI89" s="448"/>
      <c r="CJ89" s="193"/>
      <c r="CK89" s="193"/>
      <c r="CL89" s="193"/>
      <c r="CM89" s="193"/>
      <c r="CN89" s="193"/>
      <c r="CO89" s="193"/>
      <c r="CP89" s="193"/>
      <c r="CQ89" s="193"/>
      <c r="CR89" s="193"/>
      <c r="CS89" s="193"/>
      <c r="CT89" s="448"/>
      <c r="CU89" s="193"/>
      <c r="CV89" s="193"/>
      <c r="CW89" s="193"/>
      <c r="CX89" s="193"/>
      <c r="CY89" s="193"/>
      <c r="CZ89" s="193"/>
      <c r="DA89" s="193"/>
      <c r="DB89" s="193"/>
      <c r="DC89" s="193"/>
      <c r="DD89" s="193"/>
      <c r="DE89" s="448"/>
      <c r="DF89" s="193"/>
      <c r="DG89" s="193"/>
      <c r="DH89" s="193"/>
      <c r="DI89" s="193"/>
      <c r="DJ89" s="193"/>
      <c r="DK89" s="193"/>
      <c r="DL89" s="193"/>
      <c r="DM89" s="193"/>
      <c r="DN89" s="193"/>
      <c r="DO89" s="193"/>
      <c r="DP89" s="448"/>
      <c r="DQ89" s="193"/>
      <c r="DR89" s="193"/>
      <c r="DS89" s="193"/>
      <c r="DT89" s="193"/>
      <c r="DU89" s="193"/>
      <c r="DV89" s="193"/>
      <c r="DW89" s="193"/>
      <c r="DX89" s="193"/>
      <c r="DY89" s="193"/>
      <c r="DZ89" s="193"/>
      <c r="EA89" s="448"/>
      <c r="EB89" s="193"/>
      <c r="EC89" s="193"/>
      <c r="ED89" s="193"/>
      <c r="EE89" s="193"/>
      <c r="EF89" s="193"/>
      <c r="EG89" s="193"/>
      <c r="EH89" s="193"/>
      <c r="EI89" s="193"/>
      <c r="EJ89" s="193"/>
      <c r="EK89" s="193"/>
      <c r="EL89" s="448"/>
      <c r="EM89" s="193"/>
      <c r="EN89" s="449"/>
      <c r="EO89" s="47"/>
      <c r="EP89" s="117"/>
      <c r="EQ89" s="117" t="str">
        <f aca="false">IF(T89="","",T89)</f>
        <v>Добавить наименование признака дифференциации</v>
      </c>
      <c r="ER89" s="117"/>
      <c r="ES89" s="117"/>
    </row>
    <row r="90" s="47" customFormat="true" ht="14.25" hidden="false" customHeight="true" outlineLevel="0" collapsed="false">
      <c r="A90" s="121"/>
      <c r="B90" s="121"/>
      <c r="C90" s="121"/>
      <c r="D90" s="121"/>
      <c r="E90" s="416"/>
      <c r="F90" s="416" t="s">
        <v>99</v>
      </c>
      <c r="G90" s="121"/>
      <c r="H90" s="121"/>
      <c r="I90" s="121"/>
      <c r="J90" s="121"/>
      <c r="K90" s="121"/>
      <c r="L90" s="191"/>
      <c r="M90" s="456"/>
      <c r="N90" s="456"/>
      <c r="P90" s="155"/>
      <c r="Q90" s="452"/>
      <c r="R90" s="155"/>
      <c r="S90" s="457"/>
      <c r="T90" s="460" t="s">
        <v>261</v>
      </c>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459"/>
      <c r="BA90" s="459"/>
      <c r="BB90" s="459"/>
      <c r="BC90" s="459"/>
      <c r="BD90" s="459"/>
      <c r="BE90" s="459"/>
      <c r="BF90" s="459"/>
      <c r="BG90" s="459"/>
      <c r="BH90" s="459"/>
      <c r="BI90" s="459"/>
      <c r="BJ90" s="459"/>
      <c r="BK90" s="459"/>
      <c r="BL90" s="459"/>
      <c r="BM90" s="459"/>
      <c r="BN90" s="459"/>
      <c r="BO90" s="459"/>
      <c r="BP90" s="459"/>
      <c r="BQ90" s="459"/>
      <c r="BR90" s="459"/>
      <c r="BS90" s="459"/>
      <c r="BT90" s="459"/>
      <c r="BU90" s="459"/>
      <c r="BV90" s="459"/>
      <c r="BW90" s="459"/>
      <c r="BX90" s="459"/>
      <c r="BY90" s="459"/>
      <c r="BZ90" s="459"/>
      <c r="CA90" s="459"/>
      <c r="CB90" s="459"/>
      <c r="CC90" s="459"/>
      <c r="CD90" s="459"/>
      <c r="CE90" s="459"/>
      <c r="CF90" s="459"/>
      <c r="CG90" s="459"/>
      <c r="CH90" s="459"/>
      <c r="CI90" s="459"/>
      <c r="CJ90" s="459"/>
      <c r="CK90" s="459"/>
      <c r="CL90" s="459"/>
      <c r="CM90" s="459"/>
      <c r="CN90" s="459"/>
      <c r="CO90" s="459"/>
      <c r="CP90" s="459"/>
      <c r="CQ90" s="459"/>
      <c r="CR90" s="459"/>
      <c r="CS90" s="459"/>
      <c r="CT90" s="459"/>
      <c r="CU90" s="459"/>
      <c r="CV90" s="459"/>
      <c r="CW90" s="459"/>
      <c r="CX90" s="459"/>
      <c r="CY90" s="459"/>
      <c r="CZ90" s="459"/>
      <c r="DA90" s="459"/>
      <c r="DB90" s="459"/>
      <c r="DC90" s="459"/>
      <c r="DD90" s="459"/>
      <c r="DE90" s="459"/>
      <c r="DF90" s="459"/>
      <c r="DG90" s="459"/>
      <c r="DH90" s="459"/>
      <c r="DI90" s="459"/>
      <c r="DJ90" s="459"/>
      <c r="DK90" s="459"/>
      <c r="DL90" s="459"/>
      <c r="DM90" s="459"/>
      <c r="DN90" s="459"/>
      <c r="DO90" s="459"/>
      <c r="DP90" s="459"/>
      <c r="DQ90" s="459"/>
      <c r="DR90" s="459"/>
      <c r="DS90" s="459"/>
      <c r="DT90" s="459"/>
      <c r="DU90" s="459"/>
      <c r="DV90" s="459"/>
      <c r="DW90" s="459"/>
      <c r="DX90" s="459"/>
      <c r="DY90" s="459"/>
      <c r="DZ90" s="459"/>
      <c r="EA90" s="459"/>
      <c r="EB90" s="459"/>
      <c r="EC90" s="459"/>
      <c r="ED90" s="459"/>
      <c r="EE90" s="459"/>
      <c r="EF90" s="459"/>
      <c r="EG90" s="459"/>
      <c r="EH90" s="459"/>
      <c r="EI90" s="459"/>
      <c r="EJ90" s="459"/>
      <c r="EK90" s="459"/>
      <c r="EL90" s="459"/>
      <c r="EM90" s="459"/>
      <c r="EN90" s="459"/>
      <c r="EP90" s="117"/>
      <c r="EQ90" s="117" t="str">
        <f aca="false">IF(T90="","",T90)</f>
        <v>Добавить централизованную систему для дифференциации</v>
      </c>
      <c r="ER90" s="117"/>
      <c r="ES90" s="117"/>
    </row>
    <row r="91" s="47" customFormat="true" ht="12.8" hidden="false" customHeight="false" outlineLevel="0" collapsed="false">
      <c r="A91" s="121" t="s">
        <v>258</v>
      </c>
      <c r="B91" s="121"/>
      <c r="C91" s="121"/>
      <c r="D91" s="121"/>
      <c r="E91" s="416"/>
      <c r="F91" s="121"/>
      <c r="G91" s="121"/>
      <c r="H91" s="121"/>
      <c r="I91" s="121"/>
      <c r="J91" s="121"/>
      <c r="K91" s="121"/>
      <c r="L91" s="191"/>
      <c r="M91" s="456"/>
      <c r="N91" s="456"/>
      <c r="P91" s="155"/>
      <c r="Q91" s="452"/>
      <c r="R91" s="155"/>
      <c r="S91" s="457"/>
      <c r="T91" s="460" t="s">
        <v>268</v>
      </c>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459"/>
      <c r="BA91" s="459"/>
      <c r="BB91" s="459"/>
      <c r="BC91" s="459"/>
      <c r="BD91" s="459"/>
      <c r="BE91" s="459"/>
      <c r="BF91" s="459"/>
      <c r="BG91" s="459"/>
      <c r="BH91" s="459"/>
      <c r="BI91" s="459"/>
      <c r="BJ91" s="459"/>
      <c r="BK91" s="459"/>
      <c r="BL91" s="459"/>
      <c r="BM91" s="459"/>
      <c r="BN91" s="459"/>
      <c r="BO91" s="459"/>
      <c r="BP91" s="459"/>
      <c r="BQ91" s="459"/>
      <c r="BR91" s="459"/>
      <c r="BS91" s="459"/>
      <c r="BT91" s="459"/>
      <c r="BU91" s="459"/>
      <c r="BV91" s="459"/>
      <c r="BW91" s="459"/>
      <c r="BX91" s="459"/>
      <c r="BY91" s="459"/>
      <c r="BZ91" s="459"/>
      <c r="CA91" s="459"/>
      <c r="CB91" s="459"/>
      <c r="CC91" s="459"/>
      <c r="CD91" s="459"/>
      <c r="CE91" s="459"/>
      <c r="CF91" s="459"/>
      <c r="CG91" s="459"/>
      <c r="CH91" s="459"/>
      <c r="CI91" s="459"/>
      <c r="CJ91" s="459"/>
      <c r="CK91" s="459"/>
      <c r="CL91" s="459"/>
      <c r="CM91" s="459"/>
      <c r="CN91" s="459"/>
      <c r="CO91" s="459"/>
      <c r="CP91" s="459"/>
      <c r="CQ91" s="459"/>
      <c r="CR91" s="459"/>
      <c r="CS91" s="459"/>
      <c r="CT91" s="459"/>
      <c r="CU91" s="459"/>
      <c r="CV91" s="459"/>
      <c r="CW91" s="459"/>
      <c r="CX91" s="459"/>
      <c r="CY91" s="459"/>
      <c r="CZ91" s="459"/>
      <c r="DA91" s="459"/>
      <c r="DB91" s="459"/>
      <c r="DC91" s="459"/>
      <c r="DD91" s="459"/>
      <c r="DE91" s="459"/>
      <c r="DF91" s="459"/>
      <c r="DG91" s="459"/>
      <c r="DH91" s="459"/>
      <c r="DI91" s="459"/>
      <c r="DJ91" s="459"/>
      <c r="DK91" s="459"/>
      <c r="DL91" s="459"/>
      <c r="DM91" s="459"/>
      <c r="DN91" s="459"/>
      <c r="DO91" s="459"/>
      <c r="DP91" s="459"/>
      <c r="DQ91" s="459"/>
      <c r="DR91" s="459"/>
      <c r="DS91" s="459"/>
      <c r="DT91" s="459"/>
      <c r="DU91" s="459"/>
      <c r="DV91" s="459"/>
      <c r="DW91" s="459"/>
      <c r="DX91" s="459"/>
      <c r="DY91" s="459"/>
      <c r="DZ91" s="459"/>
      <c r="EA91" s="459"/>
      <c r="EB91" s="459"/>
      <c r="EC91" s="459"/>
      <c r="ED91" s="459"/>
      <c r="EE91" s="459"/>
      <c r="EF91" s="459"/>
      <c r="EG91" s="459"/>
      <c r="EH91" s="459"/>
      <c r="EI91" s="459"/>
      <c r="EJ91" s="459"/>
      <c r="EK91" s="459"/>
      <c r="EL91" s="459"/>
      <c r="EM91" s="459"/>
      <c r="EN91" s="459"/>
      <c r="EP91" s="117"/>
      <c r="EQ91" s="117" t="str">
        <f aca="false">IF(T91="","",T91)</f>
        <v>Добавить территорию для дифференциации</v>
      </c>
      <c r="ER91" s="117"/>
      <c r="ES91" s="117"/>
    </row>
    <row r="92" s="47" customFormat="true" ht="12.8" hidden="false" customHeight="false" outlineLevel="0" collapsed="false">
      <c r="A92" s="121"/>
      <c r="B92" s="121"/>
      <c r="C92" s="121"/>
      <c r="D92" s="121"/>
      <c r="E92" s="121"/>
      <c r="F92" s="121"/>
      <c r="G92" s="121"/>
      <c r="H92" s="121"/>
      <c r="I92" s="121"/>
      <c r="J92" s="121"/>
      <c r="K92" s="121"/>
      <c r="L92" s="191"/>
      <c r="M92" s="456"/>
      <c r="N92" s="456"/>
      <c r="P92" s="155"/>
      <c r="Q92" s="452"/>
      <c r="R92" s="155"/>
      <c r="S92" s="457"/>
      <c r="T92" s="460" t="s">
        <v>269</v>
      </c>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459"/>
      <c r="BA92" s="459"/>
      <c r="BB92" s="459"/>
      <c r="BC92" s="459"/>
      <c r="BD92" s="459"/>
      <c r="BE92" s="459"/>
      <c r="BF92" s="459"/>
      <c r="BG92" s="459"/>
      <c r="BH92" s="459"/>
      <c r="BI92" s="459"/>
      <c r="BJ92" s="459"/>
      <c r="BK92" s="459"/>
      <c r="BL92" s="459"/>
      <c r="BM92" s="459"/>
      <c r="BN92" s="459"/>
      <c r="BO92" s="459"/>
      <c r="BP92" s="459"/>
      <c r="BQ92" s="459"/>
      <c r="BR92" s="459"/>
      <c r="BS92" s="459"/>
      <c r="BT92" s="459"/>
      <c r="BU92" s="459"/>
      <c r="BV92" s="459"/>
      <c r="BW92" s="459"/>
      <c r="BX92" s="459"/>
      <c r="BY92" s="459"/>
      <c r="BZ92" s="459"/>
      <c r="CA92" s="459"/>
      <c r="CB92" s="459"/>
      <c r="CC92" s="459"/>
      <c r="CD92" s="459"/>
      <c r="CE92" s="459"/>
      <c r="CF92" s="459"/>
      <c r="CG92" s="459"/>
      <c r="CH92" s="459"/>
      <c r="CI92" s="459"/>
      <c r="CJ92" s="459"/>
      <c r="CK92" s="459"/>
      <c r="CL92" s="459"/>
      <c r="CM92" s="459"/>
      <c r="CN92" s="459"/>
      <c r="CO92" s="459"/>
      <c r="CP92" s="459"/>
      <c r="CQ92" s="459"/>
      <c r="CR92" s="459"/>
      <c r="CS92" s="459"/>
      <c r="CT92" s="459"/>
      <c r="CU92" s="459"/>
      <c r="CV92" s="459"/>
      <c r="CW92" s="459"/>
      <c r="CX92" s="459"/>
      <c r="CY92" s="459"/>
      <c r="CZ92" s="459"/>
      <c r="DA92" s="459"/>
      <c r="DB92" s="459"/>
      <c r="DC92" s="459"/>
      <c r="DD92" s="459"/>
      <c r="DE92" s="459"/>
      <c r="DF92" s="459"/>
      <c r="DG92" s="459"/>
      <c r="DH92" s="459"/>
      <c r="DI92" s="459"/>
      <c r="DJ92" s="459"/>
      <c r="DK92" s="459"/>
      <c r="DL92" s="459"/>
      <c r="DM92" s="459"/>
      <c r="DN92" s="459"/>
      <c r="DO92" s="459"/>
      <c r="DP92" s="459"/>
      <c r="DQ92" s="459"/>
      <c r="DR92" s="459"/>
      <c r="DS92" s="459"/>
      <c r="DT92" s="459"/>
      <c r="DU92" s="459"/>
      <c r="DV92" s="459"/>
      <c r="DW92" s="459"/>
      <c r="DX92" s="459"/>
      <c r="DY92" s="459"/>
      <c r="DZ92" s="459"/>
      <c r="EA92" s="459"/>
      <c r="EB92" s="459"/>
      <c r="EC92" s="459"/>
      <c r="ED92" s="459"/>
      <c r="EE92" s="459"/>
      <c r="EF92" s="459"/>
      <c r="EG92" s="459"/>
      <c r="EH92" s="459"/>
      <c r="EI92" s="459"/>
      <c r="EJ92" s="459"/>
      <c r="EK92" s="459"/>
      <c r="EL92" s="459"/>
      <c r="EM92" s="459"/>
      <c r="EN92" s="459"/>
      <c r="EP92" s="117"/>
      <c r="EQ92" s="117" t="str">
        <f aca="false">IF(T92="","",T92)</f>
        <v>Добавить наименование тарифа</v>
      </c>
      <c r="ER92" s="117"/>
      <c r="ES92" s="117"/>
    </row>
    <row r="93" customFormat="false" ht="11.25" hidden="false" customHeight="true" outlineLevel="0" collapsed="false">
      <c r="M93" s="45"/>
      <c r="N93" s="45"/>
      <c r="O93" s="45"/>
      <c r="P93" s="42"/>
      <c r="Q93" s="42"/>
      <c r="R93" s="42"/>
      <c r="S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O93" s="42"/>
      <c r="EP93" s="42"/>
      <c r="EQ93" s="42"/>
      <c r="ER93" s="42"/>
      <c r="ES93" s="42"/>
    </row>
    <row r="94" customFormat="false" ht="14.25" hidden="false" customHeight="true" outlineLevel="0" collapsed="false">
      <c r="O94" s="45"/>
      <c r="S94" s="412"/>
      <c r="T94" s="491"/>
      <c r="U94" s="491"/>
      <c r="V94" s="491"/>
      <c r="W94" s="491"/>
      <c r="X94" s="491"/>
      <c r="Y94" s="491"/>
      <c r="Z94" s="491"/>
      <c r="AA94" s="491"/>
      <c r="AB94" s="491"/>
      <c r="AC94" s="491"/>
      <c r="AD94" s="491"/>
      <c r="AE94" s="491"/>
      <c r="AF94" s="491"/>
      <c r="AG94" s="491"/>
      <c r="AH94" s="491"/>
      <c r="AI94" s="491"/>
      <c r="AJ94" s="491"/>
      <c r="AK94" s="491"/>
      <c r="AL94" s="491"/>
      <c r="AM94" s="491"/>
      <c r="AN94" s="491"/>
      <c r="AO94" s="491"/>
      <c r="AP94" s="491"/>
      <c r="AQ94" s="491"/>
      <c r="AR94" s="491"/>
      <c r="AS94" s="491"/>
      <c r="AT94" s="491"/>
      <c r="AU94" s="491"/>
      <c r="AV94" s="491"/>
      <c r="AW94" s="491"/>
      <c r="AX94" s="491"/>
      <c r="AY94" s="491"/>
      <c r="AZ94" s="491"/>
      <c r="BA94" s="491"/>
      <c r="BB94" s="491"/>
      <c r="BC94" s="491"/>
      <c r="BD94" s="491"/>
      <c r="BE94" s="491"/>
      <c r="BF94" s="491"/>
      <c r="BG94" s="491"/>
      <c r="BH94" s="491"/>
      <c r="BI94" s="491"/>
      <c r="BJ94" s="491"/>
      <c r="BK94" s="491"/>
      <c r="BL94" s="491"/>
      <c r="BM94" s="491"/>
      <c r="BN94" s="491"/>
      <c r="BO94" s="491"/>
      <c r="BP94" s="491"/>
      <c r="BQ94" s="491"/>
      <c r="BR94" s="491"/>
      <c r="BS94" s="491"/>
      <c r="BT94" s="491"/>
      <c r="BU94" s="491"/>
      <c r="BV94" s="491"/>
      <c r="BW94" s="491"/>
      <c r="BX94" s="491"/>
      <c r="BY94" s="491"/>
      <c r="BZ94" s="491"/>
      <c r="CA94" s="491"/>
      <c r="CB94" s="491"/>
      <c r="CC94" s="491"/>
      <c r="CD94" s="491"/>
      <c r="CE94" s="491"/>
      <c r="CF94" s="491"/>
      <c r="CG94" s="491"/>
      <c r="CH94" s="491"/>
      <c r="CI94" s="491"/>
      <c r="CJ94" s="491"/>
      <c r="CK94" s="491"/>
      <c r="CL94" s="491"/>
      <c r="CM94" s="491"/>
      <c r="CN94" s="491"/>
      <c r="CO94" s="491"/>
      <c r="CP94" s="491"/>
      <c r="CQ94" s="491"/>
      <c r="CR94" s="491"/>
      <c r="CS94" s="491"/>
      <c r="CT94" s="491"/>
      <c r="CU94" s="491"/>
      <c r="CV94" s="491"/>
      <c r="CW94" s="491"/>
      <c r="CX94" s="491"/>
      <c r="CY94" s="491"/>
      <c r="CZ94" s="491"/>
      <c r="DA94" s="491"/>
      <c r="DB94" s="491"/>
      <c r="DC94" s="491"/>
      <c r="DD94" s="491"/>
      <c r="DE94" s="491"/>
      <c r="DF94" s="491"/>
      <c r="DG94" s="491"/>
      <c r="DH94" s="491"/>
      <c r="DI94" s="491"/>
      <c r="DJ94" s="491"/>
      <c r="DK94" s="491"/>
      <c r="DL94" s="491"/>
      <c r="DM94" s="491"/>
      <c r="DN94" s="491"/>
      <c r="DO94" s="491"/>
      <c r="DP94" s="491"/>
      <c r="DQ94" s="491"/>
      <c r="DR94" s="491"/>
      <c r="DS94" s="491"/>
      <c r="DT94" s="491"/>
      <c r="DU94" s="491"/>
      <c r="DV94" s="491"/>
      <c r="DW94" s="491"/>
      <c r="DX94" s="491"/>
      <c r="DY94" s="491"/>
      <c r="DZ94" s="491"/>
      <c r="EA94" s="491"/>
      <c r="EB94" s="491"/>
      <c r="EC94" s="491"/>
      <c r="ED94" s="491"/>
      <c r="EE94" s="491"/>
      <c r="EF94" s="491"/>
      <c r="EG94" s="491"/>
      <c r="EH94" s="491"/>
      <c r="EI94" s="491"/>
      <c r="EJ94" s="491"/>
      <c r="EK94" s="491"/>
      <c r="EL94" s="491"/>
      <c r="EM94" s="491"/>
      <c r="EN94" s="491"/>
    </row>
    <row r="95" customFormat="false" ht="14.25" hidden="false" customHeight="true" outlineLevel="0" collapsed="false">
      <c r="O95" s="45"/>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row>
    <row r="96" customFormat="false" ht="14.25" hidden="false" customHeight="true" outlineLevel="0" collapsed="false">
      <c r="O96" s="45"/>
      <c r="S96" s="412"/>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491"/>
      <c r="AY96" s="491"/>
      <c r="AZ96" s="491"/>
      <c r="BA96" s="491"/>
      <c r="BB96" s="491"/>
      <c r="BC96" s="491"/>
      <c r="BD96" s="491"/>
      <c r="BE96" s="491"/>
      <c r="BF96" s="491"/>
      <c r="BG96" s="491"/>
      <c r="BH96" s="491"/>
      <c r="BI96" s="491"/>
      <c r="BJ96" s="491"/>
      <c r="BK96" s="491"/>
      <c r="BL96" s="491"/>
      <c r="BM96" s="491"/>
      <c r="BN96" s="491"/>
      <c r="BO96" s="491"/>
      <c r="BP96" s="491"/>
      <c r="BQ96" s="491"/>
      <c r="BR96" s="491"/>
      <c r="BS96" s="491"/>
      <c r="BT96" s="491"/>
      <c r="BU96" s="491"/>
      <c r="BV96" s="491"/>
      <c r="BW96" s="491"/>
      <c r="BX96" s="491"/>
      <c r="BY96" s="491"/>
      <c r="BZ96" s="491"/>
      <c r="CA96" s="491"/>
      <c r="CB96" s="491"/>
      <c r="CC96" s="491"/>
      <c r="CD96" s="491"/>
      <c r="CE96" s="491"/>
      <c r="CF96" s="491"/>
      <c r="CG96" s="491"/>
      <c r="CH96" s="491"/>
      <c r="CI96" s="491"/>
      <c r="CJ96" s="491"/>
      <c r="CK96" s="491"/>
      <c r="CL96" s="491"/>
      <c r="CM96" s="491"/>
      <c r="CN96" s="491"/>
      <c r="CO96" s="491"/>
      <c r="CP96" s="491"/>
      <c r="CQ96" s="491"/>
      <c r="CR96" s="491"/>
      <c r="CS96" s="491"/>
      <c r="CT96" s="491"/>
      <c r="CU96" s="491"/>
      <c r="CV96" s="491"/>
      <c r="CW96" s="491"/>
      <c r="CX96" s="491"/>
      <c r="CY96" s="491"/>
      <c r="CZ96" s="491"/>
      <c r="DA96" s="491"/>
      <c r="DB96" s="491"/>
      <c r="DC96" s="491"/>
      <c r="DD96" s="491"/>
      <c r="DE96" s="491"/>
      <c r="DF96" s="491"/>
      <c r="DG96" s="491"/>
      <c r="DH96" s="491"/>
      <c r="DI96" s="491"/>
      <c r="DJ96" s="491"/>
      <c r="DK96" s="491"/>
      <c r="DL96" s="491"/>
      <c r="DM96" s="491"/>
      <c r="DN96" s="491"/>
      <c r="DO96" s="491"/>
      <c r="DP96" s="491"/>
      <c r="DQ96" s="491"/>
      <c r="DR96" s="491"/>
      <c r="DS96" s="491"/>
      <c r="DT96" s="491"/>
      <c r="DU96" s="491"/>
      <c r="DV96" s="491"/>
      <c r="DW96" s="491"/>
      <c r="DX96" s="491"/>
      <c r="DY96" s="491"/>
      <c r="DZ96" s="491"/>
      <c r="EA96" s="491"/>
      <c r="EB96" s="491"/>
      <c r="EC96" s="491"/>
      <c r="ED96" s="491"/>
      <c r="EE96" s="491"/>
      <c r="EF96" s="491"/>
      <c r="EG96" s="491"/>
      <c r="EH96" s="491"/>
      <c r="EI96" s="491"/>
      <c r="EJ96" s="491"/>
      <c r="EK96" s="491"/>
      <c r="EL96" s="491"/>
      <c r="EM96" s="491"/>
      <c r="EN96" s="491"/>
    </row>
  </sheetData>
  <mergeCells count="766">
    <mergeCell ref="E2:E13"/>
    <mergeCell ref="V2:AF2"/>
    <mergeCell ref="AG2:EM2"/>
    <mergeCell ref="F3:F12"/>
    <mergeCell ref="V3:AF3"/>
    <mergeCell ref="AG3:EM3"/>
    <mergeCell ref="G4:G11"/>
    <mergeCell ref="V4:AF4"/>
    <mergeCell ref="AG4:EM4"/>
    <mergeCell ref="H5:H11"/>
    <mergeCell ref="I5:I10"/>
    <mergeCell ref="P5:P10"/>
    <mergeCell ref="V5:AF5"/>
    <mergeCell ref="AG5:EM5"/>
    <mergeCell ref="J6:J9"/>
    <mergeCell ref="Q6:Q9"/>
    <mergeCell ref="V6:AF6"/>
    <mergeCell ref="AG6:EM6"/>
    <mergeCell ref="K7:K8"/>
    <mergeCell ref="AC7:AC8"/>
    <mergeCell ref="AD7:AD8"/>
    <mergeCell ref="AE7:AE8"/>
    <mergeCell ref="AF7:AF8"/>
    <mergeCell ref="AN7:AN8"/>
    <mergeCell ref="AO7:AO8"/>
    <mergeCell ref="AP7:AP8"/>
    <mergeCell ref="AQ7:AQ8"/>
    <mergeCell ref="AY7:AY8"/>
    <mergeCell ref="AZ7:AZ8"/>
    <mergeCell ref="BA7:BA8"/>
    <mergeCell ref="BB7:BB8"/>
    <mergeCell ref="BJ7:BJ8"/>
    <mergeCell ref="BK7:BK8"/>
    <mergeCell ref="BL7:BL8"/>
    <mergeCell ref="BM7:BM8"/>
    <mergeCell ref="BU7:BU8"/>
    <mergeCell ref="BV7:BV8"/>
    <mergeCell ref="BW7:BW8"/>
    <mergeCell ref="BX7:BX8"/>
    <mergeCell ref="CF7:CF8"/>
    <mergeCell ref="CG7:CG8"/>
    <mergeCell ref="CH7:CH8"/>
    <mergeCell ref="CI7:CI8"/>
    <mergeCell ref="CQ7:CQ8"/>
    <mergeCell ref="CR7:CR8"/>
    <mergeCell ref="CS7:CS8"/>
    <mergeCell ref="CT7:CT8"/>
    <mergeCell ref="DB7:DB8"/>
    <mergeCell ref="DC7:DC8"/>
    <mergeCell ref="DD7:DD8"/>
    <mergeCell ref="DE7:DE8"/>
    <mergeCell ref="DM7:DM8"/>
    <mergeCell ref="DN7:DN8"/>
    <mergeCell ref="DO7:DO8"/>
    <mergeCell ref="DP7:DP8"/>
    <mergeCell ref="DX7:DX8"/>
    <mergeCell ref="DY7:DY8"/>
    <mergeCell ref="DZ7:DZ8"/>
    <mergeCell ref="EA7:EA8"/>
    <mergeCell ref="EI7:EI8"/>
    <mergeCell ref="EJ7:EJ8"/>
    <mergeCell ref="EK7:EK8"/>
    <mergeCell ref="EL7:EL8"/>
    <mergeCell ref="EN7:EN8"/>
    <mergeCell ref="AN15:AN16"/>
    <mergeCell ref="AO15:AO16"/>
    <mergeCell ref="AP15:AP16"/>
    <mergeCell ref="AQ15:AQ16"/>
    <mergeCell ref="S24:AP24"/>
    <mergeCell ref="S25:AP25"/>
    <mergeCell ref="S27:T27"/>
    <mergeCell ref="V27:AE27"/>
    <mergeCell ref="AG27:AP27"/>
    <mergeCell ref="AR27:BA27"/>
    <mergeCell ref="BC27:BL27"/>
    <mergeCell ref="BN27:BW27"/>
    <mergeCell ref="BY27:CH27"/>
    <mergeCell ref="CJ27:CS27"/>
    <mergeCell ref="CU27:DD27"/>
    <mergeCell ref="DF27:DO27"/>
    <mergeCell ref="DQ27:DZ27"/>
    <mergeCell ref="EB27:EK27"/>
    <mergeCell ref="S28:T28"/>
    <mergeCell ref="V28:AE28"/>
    <mergeCell ref="AG28:AP28"/>
    <mergeCell ref="AR28:BA28"/>
    <mergeCell ref="BC28:BL28"/>
    <mergeCell ref="BN28:BW28"/>
    <mergeCell ref="BY28:CH28"/>
    <mergeCell ref="CJ28:CS28"/>
    <mergeCell ref="CU28:DD28"/>
    <mergeCell ref="DF28:DO28"/>
    <mergeCell ref="DQ28:DZ28"/>
    <mergeCell ref="EB28:EK28"/>
    <mergeCell ref="S29:T29"/>
    <mergeCell ref="V29:AE29"/>
    <mergeCell ref="AG29:AP29"/>
    <mergeCell ref="AR29:BA29"/>
    <mergeCell ref="BC29:BL29"/>
    <mergeCell ref="BN29:BW29"/>
    <mergeCell ref="BY29:CH29"/>
    <mergeCell ref="CJ29:CS29"/>
    <mergeCell ref="CU29:DD29"/>
    <mergeCell ref="DF29:DO29"/>
    <mergeCell ref="DQ29:DZ29"/>
    <mergeCell ref="EB29:EK29"/>
    <mergeCell ref="S30:T30"/>
    <mergeCell ref="V30:AE30"/>
    <mergeCell ref="AG30:AP30"/>
    <mergeCell ref="AR30:BA30"/>
    <mergeCell ref="BC30:BL30"/>
    <mergeCell ref="BN30:BW30"/>
    <mergeCell ref="BY30:CH30"/>
    <mergeCell ref="CJ30:CS30"/>
    <mergeCell ref="CU30:DD30"/>
    <mergeCell ref="DF30:DO30"/>
    <mergeCell ref="DQ30:DZ30"/>
    <mergeCell ref="EB30:EK30"/>
    <mergeCell ref="S32:T32"/>
    <mergeCell ref="V32:AE32"/>
    <mergeCell ref="AG32:AP32"/>
    <mergeCell ref="AR32:BA32"/>
    <mergeCell ref="BC32:BL32"/>
    <mergeCell ref="BN32:BW32"/>
    <mergeCell ref="BY32:CH32"/>
    <mergeCell ref="CJ32:CS32"/>
    <mergeCell ref="CU32:DD32"/>
    <mergeCell ref="DF32:DO32"/>
    <mergeCell ref="DQ32:DZ32"/>
    <mergeCell ref="EB32:EK32"/>
    <mergeCell ref="S33:T33"/>
    <mergeCell ref="V33:AE33"/>
    <mergeCell ref="AG33:AP33"/>
    <mergeCell ref="AR33:BA33"/>
    <mergeCell ref="BC33:BL33"/>
    <mergeCell ref="BN33:BW33"/>
    <mergeCell ref="BY33:CH33"/>
    <mergeCell ref="CJ33:CS33"/>
    <mergeCell ref="CU33:DD33"/>
    <mergeCell ref="DF33:DO33"/>
    <mergeCell ref="DQ33:DZ33"/>
    <mergeCell ref="EB33:EK33"/>
    <mergeCell ref="V35:AF35"/>
    <mergeCell ref="AG35:AQ35"/>
    <mergeCell ref="AR35:BB35"/>
    <mergeCell ref="BC35:BM35"/>
    <mergeCell ref="BN35:BX35"/>
    <mergeCell ref="BY35:CI35"/>
    <mergeCell ref="CJ35:CT35"/>
    <mergeCell ref="CU35:DE35"/>
    <mergeCell ref="DF35:DP35"/>
    <mergeCell ref="DQ35:EA35"/>
    <mergeCell ref="EB35:EL35"/>
    <mergeCell ref="S36:EM36"/>
    <mergeCell ref="EN36:EN40"/>
    <mergeCell ref="S37:S40"/>
    <mergeCell ref="T37:T40"/>
    <mergeCell ref="V37:AE37"/>
    <mergeCell ref="AF37:AF40"/>
    <mergeCell ref="AG37:AP37"/>
    <mergeCell ref="AQ37:AQ40"/>
    <mergeCell ref="AR37:BA37"/>
    <mergeCell ref="BB37:BB40"/>
    <mergeCell ref="BC37:BL37"/>
    <mergeCell ref="BM37:BM40"/>
    <mergeCell ref="BN37:BW37"/>
    <mergeCell ref="BX37:BX40"/>
    <mergeCell ref="BY37:CH37"/>
    <mergeCell ref="CI37:CI40"/>
    <mergeCell ref="CJ37:CS37"/>
    <mergeCell ref="CT37:CT40"/>
    <mergeCell ref="CU37:DD37"/>
    <mergeCell ref="DE37:DE40"/>
    <mergeCell ref="DF37:DO37"/>
    <mergeCell ref="DP37:DP40"/>
    <mergeCell ref="DQ37:DZ37"/>
    <mergeCell ref="EA37:EA40"/>
    <mergeCell ref="EB37:EK37"/>
    <mergeCell ref="EL37:EL40"/>
    <mergeCell ref="EM37:EM40"/>
    <mergeCell ref="V38:V40"/>
    <mergeCell ref="W38:Y38"/>
    <mergeCell ref="Z38:AB38"/>
    <mergeCell ref="AC38:AE39"/>
    <mergeCell ref="AG38:AG40"/>
    <mergeCell ref="AH38:AJ38"/>
    <mergeCell ref="AK38:AM38"/>
    <mergeCell ref="AN38:AP39"/>
    <mergeCell ref="AR38:AR40"/>
    <mergeCell ref="AS38:AU38"/>
    <mergeCell ref="AV38:AX38"/>
    <mergeCell ref="AY38:BA39"/>
    <mergeCell ref="BC38:BC40"/>
    <mergeCell ref="BD38:BF38"/>
    <mergeCell ref="BG38:BI38"/>
    <mergeCell ref="BJ38:BL39"/>
    <mergeCell ref="BN38:BN40"/>
    <mergeCell ref="BO38:BQ38"/>
    <mergeCell ref="BR38:BT38"/>
    <mergeCell ref="BU38:BW39"/>
    <mergeCell ref="BY38:BY40"/>
    <mergeCell ref="BZ38:CB38"/>
    <mergeCell ref="CC38:CE38"/>
    <mergeCell ref="CF38:CH39"/>
    <mergeCell ref="CJ38:CJ40"/>
    <mergeCell ref="CK38:CM38"/>
    <mergeCell ref="CN38:CP38"/>
    <mergeCell ref="CQ38:CS39"/>
    <mergeCell ref="CU38:CU40"/>
    <mergeCell ref="CV38:CX38"/>
    <mergeCell ref="CY38:DA38"/>
    <mergeCell ref="DB38:DD39"/>
    <mergeCell ref="DF38:DF40"/>
    <mergeCell ref="DG38:DI38"/>
    <mergeCell ref="DJ38:DL38"/>
    <mergeCell ref="DM38:DO39"/>
    <mergeCell ref="DQ38:DQ40"/>
    <mergeCell ref="DR38:DT38"/>
    <mergeCell ref="DU38:DW38"/>
    <mergeCell ref="DX38:DZ39"/>
    <mergeCell ref="EB38:EB40"/>
    <mergeCell ref="EC38:EE38"/>
    <mergeCell ref="EF38:EH38"/>
    <mergeCell ref="EI38:EK39"/>
    <mergeCell ref="W39:W40"/>
    <mergeCell ref="X39:Y39"/>
    <mergeCell ref="Z39:Z40"/>
    <mergeCell ref="AA39:AB39"/>
    <mergeCell ref="AH39:AH40"/>
    <mergeCell ref="AI39:AJ39"/>
    <mergeCell ref="AK39:AK40"/>
    <mergeCell ref="AL39:AM39"/>
    <mergeCell ref="AS39:AS40"/>
    <mergeCell ref="AT39:AU39"/>
    <mergeCell ref="AV39:AV40"/>
    <mergeCell ref="AW39:AX39"/>
    <mergeCell ref="BD39:BD40"/>
    <mergeCell ref="BE39:BF39"/>
    <mergeCell ref="BG39:BG40"/>
    <mergeCell ref="BH39:BI39"/>
    <mergeCell ref="BO39:BO40"/>
    <mergeCell ref="BP39:BQ39"/>
    <mergeCell ref="BR39:BR40"/>
    <mergeCell ref="BS39:BT39"/>
    <mergeCell ref="BZ39:BZ40"/>
    <mergeCell ref="CA39:CB39"/>
    <mergeCell ref="CC39:CC40"/>
    <mergeCell ref="CD39:CE39"/>
    <mergeCell ref="CK39:CK40"/>
    <mergeCell ref="CL39:CM39"/>
    <mergeCell ref="CN39:CN40"/>
    <mergeCell ref="CO39:CP39"/>
    <mergeCell ref="CV39:CV40"/>
    <mergeCell ref="CW39:CX39"/>
    <mergeCell ref="CY39:CY40"/>
    <mergeCell ref="CZ39:DA39"/>
    <mergeCell ref="DG39:DG40"/>
    <mergeCell ref="DH39:DI39"/>
    <mergeCell ref="DJ39:DJ40"/>
    <mergeCell ref="DK39:DL39"/>
    <mergeCell ref="DR39:DR40"/>
    <mergeCell ref="DS39:DT39"/>
    <mergeCell ref="DU39:DU40"/>
    <mergeCell ref="DV39:DW39"/>
    <mergeCell ref="EC39:EC40"/>
    <mergeCell ref="ED39:EE39"/>
    <mergeCell ref="EF39:EF40"/>
    <mergeCell ref="EG39:EH39"/>
    <mergeCell ref="AD40:AE40"/>
    <mergeCell ref="AO40:AP40"/>
    <mergeCell ref="AZ40:BA40"/>
    <mergeCell ref="BK40:BL40"/>
    <mergeCell ref="BV40:BW40"/>
    <mergeCell ref="CG40:CH40"/>
    <mergeCell ref="CR40:CS40"/>
    <mergeCell ref="DC40:DD40"/>
    <mergeCell ref="DN40:DO40"/>
    <mergeCell ref="DY40:DZ40"/>
    <mergeCell ref="EJ40:EK40"/>
    <mergeCell ref="AD41:AE41"/>
    <mergeCell ref="AO41:AP41"/>
    <mergeCell ref="AZ41:BA41"/>
    <mergeCell ref="BK41:BL41"/>
    <mergeCell ref="BV41:BW41"/>
    <mergeCell ref="CG41:CH41"/>
    <mergeCell ref="CR41:CS41"/>
    <mergeCell ref="DC41:DD41"/>
    <mergeCell ref="DN41:DO41"/>
    <mergeCell ref="DY41:DZ41"/>
    <mergeCell ref="EJ41:EK41"/>
    <mergeCell ref="E42:E91"/>
    <mergeCell ref="V42:AF42"/>
    <mergeCell ref="AG42:EM42"/>
    <mergeCell ref="F43:F62"/>
    <mergeCell ref="V43:AF43"/>
    <mergeCell ref="AG43:EM43"/>
    <mergeCell ref="G44:G61"/>
    <mergeCell ref="V44:AF44"/>
    <mergeCell ref="AG44:EM44"/>
    <mergeCell ref="H45:H61"/>
    <mergeCell ref="I45:I60"/>
    <mergeCell ref="P45:P60"/>
    <mergeCell ref="V45:AF45"/>
    <mergeCell ref="AG45:EM45"/>
    <mergeCell ref="J46:J53"/>
    <mergeCell ref="Q46:Q53"/>
    <mergeCell ref="V46:AF46"/>
    <mergeCell ref="AG46:EM46"/>
    <mergeCell ref="K47:K48"/>
    <mergeCell ref="AC47:AC48"/>
    <mergeCell ref="AD47:AD48"/>
    <mergeCell ref="AE47:AE48"/>
    <mergeCell ref="AF47:AF48"/>
    <mergeCell ref="AN47:AN48"/>
    <mergeCell ref="AO47:AO48"/>
    <mergeCell ref="AP47:AP48"/>
    <mergeCell ref="AQ47:AQ48"/>
    <mergeCell ref="AY47:AY48"/>
    <mergeCell ref="AZ47:AZ48"/>
    <mergeCell ref="BA47:BA48"/>
    <mergeCell ref="BB47:BB48"/>
    <mergeCell ref="BJ47:BJ48"/>
    <mergeCell ref="BK47:BK48"/>
    <mergeCell ref="BL47:BL48"/>
    <mergeCell ref="BM47:BM48"/>
    <mergeCell ref="BU47:BU48"/>
    <mergeCell ref="BV47:BV48"/>
    <mergeCell ref="BW47:BW48"/>
    <mergeCell ref="BX47:BX48"/>
    <mergeCell ref="CF47:CF48"/>
    <mergeCell ref="CG47:CG48"/>
    <mergeCell ref="CH47:CH48"/>
    <mergeCell ref="CI47:CI48"/>
    <mergeCell ref="CQ47:CQ48"/>
    <mergeCell ref="CR47:CR48"/>
    <mergeCell ref="CS47:CS48"/>
    <mergeCell ref="CT47:CT48"/>
    <mergeCell ref="DB47:DB48"/>
    <mergeCell ref="DC47:DC48"/>
    <mergeCell ref="DD47:DD48"/>
    <mergeCell ref="DE47:DE48"/>
    <mergeCell ref="DM47:DM48"/>
    <mergeCell ref="DN47:DN48"/>
    <mergeCell ref="DO47:DO48"/>
    <mergeCell ref="DP47:DP48"/>
    <mergeCell ref="DX47:DX48"/>
    <mergeCell ref="DY47:DY48"/>
    <mergeCell ref="DZ47:DZ48"/>
    <mergeCell ref="EA47:EA48"/>
    <mergeCell ref="EI47:EI48"/>
    <mergeCell ref="EJ47:EJ48"/>
    <mergeCell ref="EK47:EK48"/>
    <mergeCell ref="EL47:EL48"/>
    <mergeCell ref="EN47:EN48"/>
    <mergeCell ref="K49:K50"/>
    <mergeCell ref="AC49:AC50"/>
    <mergeCell ref="AD49:AD50"/>
    <mergeCell ref="AE49:AE50"/>
    <mergeCell ref="AF49:AF50"/>
    <mergeCell ref="AN49:AN50"/>
    <mergeCell ref="AO49:AO50"/>
    <mergeCell ref="AP49:AP50"/>
    <mergeCell ref="AQ49:AQ50"/>
    <mergeCell ref="AY49:AY50"/>
    <mergeCell ref="AZ49:AZ50"/>
    <mergeCell ref="BA49:BA50"/>
    <mergeCell ref="BB49:BB50"/>
    <mergeCell ref="BJ49:BJ50"/>
    <mergeCell ref="BK49:BK50"/>
    <mergeCell ref="BL49:BL50"/>
    <mergeCell ref="BM49:BM50"/>
    <mergeCell ref="BU49:BU50"/>
    <mergeCell ref="BV49:BV50"/>
    <mergeCell ref="BW49:BW50"/>
    <mergeCell ref="BX49:BX50"/>
    <mergeCell ref="CF49:CF50"/>
    <mergeCell ref="CG49:CG50"/>
    <mergeCell ref="CH49:CH50"/>
    <mergeCell ref="CI49:CI50"/>
    <mergeCell ref="CQ49:CQ50"/>
    <mergeCell ref="CR49:CR50"/>
    <mergeCell ref="CS49:CS50"/>
    <mergeCell ref="CT49:CT50"/>
    <mergeCell ref="DB49:DB50"/>
    <mergeCell ref="DC49:DC50"/>
    <mergeCell ref="DD49:DD50"/>
    <mergeCell ref="DE49:DE50"/>
    <mergeCell ref="DM49:DM50"/>
    <mergeCell ref="DN49:DN50"/>
    <mergeCell ref="DO49:DO50"/>
    <mergeCell ref="DP49:DP50"/>
    <mergeCell ref="DX49:DX50"/>
    <mergeCell ref="DY49:DY50"/>
    <mergeCell ref="DZ49:DZ50"/>
    <mergeCell ref="EA49:EA50"/>
    <mergeCell ref="EI49:EI50"/>
    <mergeCell ref="EJ49:EJ50"/>
    <mergeCell ref="EK49:EK50"/>
    <mergeCell ref="EL49:EL50"/>
    <mergeCell ref="EN49:EN50"/>
    <mergeCell ref="K51:K52"/>
    <mergeCell ref="AC51:AC52"/>
    <mergeCell ref="AD51:AD52"/>
    <mergeCell ref="AE51:AE52"/>
    <mergeCell ref="AF51:AF52"/>
    <mergeCell ref="AN51:AN52"/>
    <mergeCell ref="AO51:AO52"/>
    <mergeCell ref="AP51:AP52"/>
    <mergeCell ref="AQ51:AQ52"/>
    <mergeCell ref="AY51:AY52"/>
    <mergeCell ref="AZ51:AZ52"/>
    <mergeCell ref="BA51:BA52"/>
    <mergeCell ref="BB51:BB52"/>
    <mergeCell ref="BJ51:BJ52"/>
    <mergeCell ref="BK51:BK52"/>
    <mergeCell ref="BL51:BL52"/>
    <mergeCell ref="BM51:BM52"/>
    <mergeCell ref="BU51:BU52"/>
    <mergeCell ref="BV51:BV52"/>
    <mergeCell ref="BW51:BW52"/>
    <mergeCell ref="BX51:BX52"/>
    <mergeCell ref="CF51:CF52"/>
    <mergeCell ref="CG51:CG52"/>
    <mergeCell ref="CH51:CH52"/>
    <mergeCell ref="CI51:CI52"/>
    <mergeCell ref="CQ51:CQ52"/>
    <mergeCell ref="CR51:CR52"/>
    <mergeCell ref="CS51:CS52"/>
    <mergeCell ref="CT51:CT52"/>
    <mergeCell ref="DB51:DB52"/>
    <mergeCell ref="DC51:DC52"/>
    <mergeCell ref="DD51:DD52"/>
    <mergeCell ref="DE51:DE52"/>
    <mergeCell ref="DM51:DM52"/>
    <mergeCell ref="DN51:DN52"/>
    <mergeCell ref="DO51:DO52"/>
    <mergeCell ref="DP51:DP52"/>
    <mergeCell ref="DX51:DX52"/>
    <mergeCell ref="DY51:DY52"/>
    <mergeCell ref="DZ51:DZ52"/>
    <mergeCell ref="EA51:EA52"/>
    <mergeCell ref="EI51:EI52"/>
    <mergeCell ref="EJ51:EJ52"/>
    <mergeCell ref="EK51:EK52"/>
    <mergeCell ref="EL51:EL52"/>
    <mergeCell ref="EN51:EN52"/>
    <mergeCell ref="J54:J59"/>
    <mergeCell ref="Q54:Q59"/>
    <mergeCell ref="V54:AF54"/>
    <mergeCell ref="AG54:EM54"/>
    <mergeCell ref="K55:K56"/>
    <mergeCell ref="AC55:AC56"/>
    <mergeCell ref="AD55:AD56"/>
    <mergeCell ref="AE55:AE56"/>
    <mergeCell ref="AF55:AF56"/>
    <mergeCell ref="AN55:AN56"/>
    <mergeCell ref="AO55:AO56"/>
    <mergeCell ref="AP55:AP56"/>
    <mergeCell ref="AQ55:AQ56"/>
    <mergeCell ref="AY55:AY56"/>
    <mergeCell ref="AZ55:AZ56"/>
    <mergeCell ref="BA55:BA56"/>
    <mergeCell ref="BB55:BB56"/>
    <mergeCell ref="BJ55:BJ56"/>
    <mergeCell ref="BK55:BK56"/>
    <mergeCell ref="BL55:BL56"/>
    <mergeCell ref="BM55:BM56"/>
    <mergeCell ref="BU55:BU56"/>
    <mergeCell ref="BV55:BV56"/>
    <mergeCell ref="BW55:BW56"/>
    <mergeCell ref="BX55:BX56"/>
    <mergeCell ref="CF55:CF56"/>
    <mergeCell ref="CG55:CG56"/>
    <mergeCell ref="CH55:CH56"/>
    <mergeCell ref="CI55:CI56"/>
    <mergeCell ref="CQ55:CQ56"/>
    <mergeCell ref="CR55:CR56"/>
    <mergeCell ref="CS55:CS56"/>
    <mergeCell ref="CT55:CT56"/>
    <mergeCell ref="DB55:DB56"/>
    <mergeCell ref="DC55:DC56"/>
    <mergeCell ref="DD55:DD56"/>
    <mergeCell ref="DE55:DE56"/>
    <mergeCell ref="DM55:DM56"/>
    <mergeCell ref="DN55:DN56"/>
    <mergeCell ref="DO55:DO56"/>
    <mergeCell ref="DP55:DP56"/>
    <mergeCell ref="DX55:DX56"/>
    <mergeCell ref="DY55:DY56"/>
    <mergeCell ref="DZ55:DZ56"/>
    <mergeCell ref="EA55:EA56"/>
    <mergeCell ref="EI55:EI56"/>
    <mergeCell ref="EJ55:EJ56"/>
    <mergeCell ref="EK55:EK56"/>
    <mergeCell ref="EL55:EL56"/>
    <mergeCell ref="EN55:EN56"/>
    <mergeCell ref="K57:K58"/>
    <mergeCell ref="AC57:AC58"/>
    <mergeCell ref="AD57:AD58"/>
    <mergeCell ref="AE57:AE58"/>
    <mergeCell ref="AF57:AF58"/>
    <mergeCell ref="AN57:AN58"/>
    <mergeCell ref="AO57:AO58"/>
    <mergeCell ref="AP57:AP58"/>
    <mergeCell ref="AQ57:AQ58"/>
    <mergeCell ref="AY57:AY58"/>
    <mergeCell ref="AZ57:AZ58"/>
    <mergeCell ref="BA57:BA58"/>
    <mergeCell ref="BB57:BB58"/>
    <mergeCell ref="BJ57:BJ58"/>
    <mergeCell ref="BK57:BK58"/>
    <mergeCell ref="BL57:BL58"/>
    <mergeCell ref="BM57:BM58"/>
    <mergeCell ref="BU57:BU58"/>
    <mergeCell ref="BV57:BV58"/>
    <mergeCell ref="BW57:BW58"/>
    <mergeCell ref="BX57:BX58"/>
    <mergeCell ref="CF57:CF58"/>
    <mergeCell ref="CG57:CG58"/>
    <mergeCell ref="CH57:CH58"/>
    <mergeCell ref="CI57:CI58"/>
    <mergeCell ref="CQ57:CQ58"/>
    <mergeCell ref="CR57:CR58"/>
    <mergeCell ref="CS57:CS58"/>
    <mergeCell ref="CT57:CT58"/>
    <mergeCell ref="DB57:DB58"/>
    <mergeCell ref="DC57:DC58"/>
    <mergeCell ref="DD57:DD58"/>
    <mergeCell ref="DE57:DE58"/>
    <mergeCell ref="DM57:DM58"/>
    <mergeCell ref="DN57:DN58"/>
    <mergeCell ref="DO57:DO58"/>
    <mergeCell ref="DP57:DP58"/>
    <mergeCell ref="DX57:DX58"/>
    <mergeCell ref="DY57:DY58"/>
    <mergeCell ref="DZ57:DZ58"/>
    <mergeCell ref="EA57:EA58"/>
    <mergeCell ref="EI57:EI58"/>
    <mergeCell ref="EJ57:EJ58"/>
    <mergeCell ref="EK57:EK58"/>
    <mergeCell ref="EL57:EL58"/>
    <mergeCell ref="EN57:EN58"/>
    <mergeCell ref="F63:F76"/>
    <mergeCell ref="V63:AF63"/>
    <mergeCell ref="AG63:EM63"/>
    <mergeCell ref="G64:G75"/>
    <mergeCell ref="V64:AF64"/>
    <mergeCell ref="AG64:EM64"/>
    <mergeCell ref="H65:H75"/>
    <mergeCell ref="I65:I74"/>
    <mergeCell ref="P65:P74"/>
    <mergeCell ref="V65:AF65"/>
    <mergeCell ref="AG65:EM65"/>
    <mergeCell ref="J66:J69"/>
    <mergeCell ref="Q66:Q69"/>
    <mergeCell ref="V66:AF66"/>
    <mergeCell ref="AG66:EM66"/>
    <mergeCell ref="K67:K68"/>
    <mergeCell ref="AC67:AC68"/>
    <mergeCell ref="AD67:AD68"/>
    <mergeCell ref="AE67:AE68"/>
    <mergeCell ref="AF67:AF68"/>
    <mergeCell ref="AN67:AN68"/>
    <mergeCell ref="AO67:AO68"/>
    <mergeCell ref="AP67:AP68"/>
    <mergeCell ref="AQ67:AQ68"/>
    <mergeCell ref="AY67:AY68"/>
    <mergeCell ref="AZ67:AZ68"/>
    <mergeCell ref="BA67:BA68"/>
    <mergeCell ref="BB67:BB68"/>
    <mergeCell ref="BJ67:BJ68"/>
    <mergeCell ref="BK67:BK68"/>
    <mergeCell ref="BL67:BL68"/>
    <mergeCell ref="BM67:BM68"/>
    <mergeCell ref="BU67:BU68"/>
    <mergeCell ref="BV67:BV68"/>
    <mergeCell ref="BW67:BW68"/>
    <mergeCell ref="BX67:BX68"/>
    <mergeCell ref="CF67:CF68"/>
    <mergeCell ref="CG67:CG68"/>
    <mergeCell ref="CH67:CH68"/>
    <mergeCell ref="CI67:CI68"/>
    <mergeCell ref="CQ67:CQ68"/>
    <mergeCell ref="CR67:CR68"/>
    <mergeCell ref="CS67:CS68"/>
    <mergeCell ref="CT67:CT68"/>
    <mergeCell ref="DB67:DB68"/>
    <mergeCell ref="DC67:DC68"/>
    <mergeCell ref="DD67:DD68"/>
    <mergeCell ref="DE67:DE68"/>
    <mergeCell ref="DM67:DM68"/>
    <mergeCell ref="DN67:DN68"/>
    <mergeCell ref="DO67:DO68"/>
    <mergeCell ref="DP67:DP68"/>
    <mergeCell ref="DX67:DX68"/>
    <mergeCell ref="DY67:DY68"/>
    <mergeCell ref="DZ67:DZ68"/>
    <mergeCell ref="EA67:EA68"/>
    <mergeCell ref="EI67:EI68"/>
    <mergeCell ref="EJ67:EJ68"/>
    <mergeCell ref="EK67:EK68"/>
    <mergeCell ref="EL67:EL68"/>
    <mergeCell ref="EN67:EN68"/>
    <mergeCell ref="J70:J73"/>
    <mergeCell ref="Q70:Q73"/>
    <mergeCell ref="V70:AF70"/>
    <mergeCell ref="AG70:EM70"/>
    <mergeCell ref="K71:K72"/>
    <mergeCell ref="AC71:AC72"/>
    <mergeCell ref="AD71:AD72"/>
    <mergeCell ref="AE71:AE72"/>
    <mergeCell ref="AF71:AF72"/>
    <mergeCell ref="AN71:AN72"/>
    <mergeCell ref="AO71:AO72"/>
    <mergeCell ref="AP71:AP72"/>
    <mergeCell ref="AQ71:AQ72"/>
    <mergeCell ref="AY71:AY72"/>
    <mergeCell ref="AZ71:AZ72"/>
    <mergeCell ref="BA71:BA72"/>
    <mergeCell ref="BB71:BB72"/>
    <mergeCell ref="BJ71:BJ72"/>
    <mergeCell ref="BK71:BK72"/>
    <mergeCell ref="BL71:BL72"/>
    <mergeCell ref="BM71:BM72"/>
    <mergeCell ref="BU71:BU72"/>
    <mergeCell ref="BV71:BV72"/>
    <mergeCell ref="BW71:BW72"/>
    <mergeCell ref="BX71:BX72"/>
    <mergeCell ref="CF71:CF72"/>
    <mergeCell ref="CG71:CG72"/>
    <mergeCell ref="CH71:CH72"/>
    <mergeCell ref="CI71:CI72"/>
    <mergeCell ref="CQ71:CQ72"/>
    <mergeCell ref="CR71:CR72"/>
    <mergeCell ref="CS71:CS72"/>
    <mergeCell ref="CT71:CT72"/>
    <mergeCell ref="DB71:DB72"/>
    <mergeCell ref="DC71:DC72"/>
    <mergeCell ref="DD71:DD72"/>
    <mergeCell ref="DE71:DE72"/>
    <mergeCell ref="DM71:DM72"/>
    <mergeCell ref="DN71:DN72"/>
    <mergeCell ref="DO71:DO72"/>
    <mergeCell ref="DP71:DP72"/>
    <mergeCell ref="DX71:DX72"/>
    <mergeCell ref="DY71:DY72"/>
    <mergeCell ref="DZ71:DZ72"/>
    <mergeCell ref="EA71:EA72"/>
    <mergeCell ref="EI71:EI72"/>
    <mergeCell ref="EJ71:EJ72"/>
    <mergeCell ref="EK71:EK72"/>
    <mergeCell ref="EL71:EL72"/>
    <mergeCell ref="EN71:EN72"/>
    <mergeCell ref="F77:F90"/>
    <mergeCell ref="V77:AF77"/>
    <mergeCell ref="AG77:EM77"/>
    <mergeCell ref="G78:G89"/>
    <mergeCell ref="V78:AF78"/>
    <mergeCell ref="AG78:EM78"/>
    <mergeCell ref="H79:H89"/>
    <mergeCell ref="I79:I88"/>
    <mergeCell ref="P79:P88"/>
    <mergeCell ref="V79:AF79"/>
    <mergeCell ref="AG79:EM79"/>
    <mergeCell ref="J80:J83"/>
    <mergeCell ref="Q80:Q83"/>
    <mergeCell ref="V80:AF80"/>
    <mergeCell ref="AG80:EM80"/>
    <mergeCell ref="K81:K82"/>
    <mergeCell ref="AC81:AC82"/>
    <mergeCell ref="AD81:AD82"/>
    <mergeCell ref="AE81:AE82"/>
    <mergeCell ref="AF81:AF82"/>
    <mergeCell ref="AN81:AN82"/>
    <mergeCell ref="AO81:AO82"/>
    <mergeCell ref="AP81:AP82"/>
    <mergeCell ref="AQ81:AQ82"/>
    <mergeCell ref="AY81:AY82"/>
    <mergeCell ref="AZ81:AZ82"/>
    <mergeCell ref="BA81:BA82"/>
    <mergeCell ref="BB81:BB82"/>
    <mergeCell ref="BJ81:BJ82"/>
    <mergeCell ref="BK81:BK82"/>
    <mergeCell ref="BL81:BL82"/>
    <mergeCell ref="BM81:BM82"/>
    <mergeCell ref="BU81:BU82"/>
    <mergeCell ref="BV81:BV82"/>
    <mergeCell ref="BW81:BW82"/>
    <mergeCell ref="BX81:BX82"/>
    <mergeCell ref="CF81:CF82"/>
    <mergeCell ref="CG81:CG82"/>
    <mergeCell ref="CH81:CH82"/>
    <mergeCell ref="CI81:CI82"/>
    <mergeCell ref="CQ81:CQ82"/>
    <mergeCell ref="CR81:CR82"/>
    <mergeCell ref="CS81:CS82"/>
    <mergeCell ref="CT81:CT82"/>
    <mergeCell ref="DB81:DB82"/>
    <mergeCell ref="DC81:DC82"/>
    <mergeCell ref="DD81:DD82"/>
    <mergeCell ref="DE81:DE82"/>
    <mergeCell ref="DM81:DM82"/>
    <mergeCell ref="DN81:DN82"/>
    <mergeCell ref="DO81:DO82"/>
    <mergeCell ref="DP81:DP82"/>
    <mergeCell ref="DX81:DX82"/>
    <mergeCell ref="DY81:DY82"/>
    <mergeCell ref="DZ81:DZ82"/>
    <mergeCell ref="EA81:EA82"/>
    <mergeCell ref="EI81:EI82"/>
    <mergeCell ref="EJ81:EJ82"/>
    <mergeCell ref="EK81:EK82"/>
    <mergeCell ref="EL81:EL82"/>
    <mergeCell ref="EN81:EN82"/>
    <mergeCell ref="J84:J87"/>
    <mergeCell ref="Q84:Q87"/>
    <mergeCell ref="V84:AF84"/>
    <mergeCell ref="AG84:EM84"/>
    <mergeCell ref="K85:K86"/>
    <mergeCell ref="AC85:AC86"/>
    <mergeCell ref="AD85:AD86"/>
    <mergeCell ref="AE85:AE86"/>
    <mergeCell ref="AF85:AF86"/>
    <mergeCell ref="AN85:AN86"/>
    <mergeCell ref="AO85:AO86"/>
    <mergeCell ref="AP85:AP86"/>
    <mergeCell ref="AQ85:AQ86"/>
    <mergeCell ref="AY85:AY86"/>
    <mergeCell ref="AZ85:AZ86"/>
    <mergeCell ref="BA85:BA86"/>
    <mergeCell ref="BB85:BB86"/>
    <mergeCell ref="BJ85:BJ86"/>
    <mergeCell ref="BK85:BK86"/>
    <mergeCell ref="BL85:BL86"/>
    <mergeCell ref="BM85:BM86"/>
    <mergeCell ref="BU85:BU86"/>
    <mergeCell ref="BV85:BV86"/>
    <mergeCell ref="BW85:BW86"/>
    <mergeCell ref="BX85:BX86"/>
    <mergeCell ref="CF85:CF86"/>
    <mergeCell ref="CG85:CG86"/>
    <mergeCell ref="CH85:CH86"/>
    <mergeCell ref="CI85:CI86"/>
    <mergeCell ref="CQ85:CQ86"/>
    <mergeCell ref="CR85:CR86"/>
    <mergeCell ref="CS85:CS86"/>
    <mergeCell ref="CT85:CT86"/>
    <mergeCell ref="DB85:DB86"/>
    <mergeCell ref="DC85:DC86"/>
    <mergeCell ref="DD85:DD86"/>
    <mergeCell ref="DE85:DE86"/>
    <mergeCell ref="DM85:DM86"/>
    <mergeCell ref="DN85:DN86"/>
    <mergeCell ref="DO85:DO86"/>
    <mergeCell ref="DP85:DP86"/>
    <mergeCell ref="DX85:DX86"/>
    <mergeCell ref="DY85:DY86"/>
    <mergeCell ref="DZ85:DZ86"/>
    <mergeCell ref="EA85:EA86"/>
    <mergeCell ref="EI85:EI86"/>
    <mergeCell ref="EJ85:EJ86"/>
    <mergeCell ref="EK85:EK86"/>
    <mergeCell ref="EL85:EL86"/>
    <mergeCell ref="EN85:EN86"/>
    <mergeCell ref="T94:EN94"/>
    <mergeCell ref="T96:EN9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Z7 BB7 BK7 BM7 BV7 BX7 CG7 CI7 CR7 CT7 DC7 DE7 DN7 DP7 DY7 EA7 EJ7 EL7 AO15 AQ15 AD47 AF47 AO47 AQ47 AZ47 BB47 BK47 BM47 BV47 BX47 CG47 CI47 CR47 CT47 DC47 DE47 DN47 DP47 DY47 EA47 EJ47 EL47 AD49 AF49 AO49 AQ49 AZ49 BB49 BK49 BM49 BV49 BX49 CG49 CI49 CR49 CT49 DC49 DE49 DN49 DP49 DY49 EA49 EJ49 EL49 AD51 AF51 AO51 AQ51 AZ51 BB51 BK51 BM51 BV51 BX51 CG51 CI51 CR51 CT51 DC51 DE51 DN51 DP51 DY51 EA51 EJ51 EL51 AD55 AF55 AO55 AQ55 AZ55 BB55 BK55 BM55 BV55 BX55 CG55 CI55 CR55 CT55 DC55 DE55 DN55 DP55 DY55 EA55 EJ55 EL55 AD57 AF57 AO57 AQ57 AZ57 BB57 BK57 BM57 BV57 BX57 CG57 CI57 CR57 CT57 DC57 DE57 DN57 DP57 DY57 EA57 EJ57 EL57 AD67 AF67 AO67 AQ67 AZ67 BB67 BK67 BM67 BV67 BX67 CG67 CI67 CR67 CT67 DC67 DE67 DN67 DP67 DY67 EA67 EJ67 EL67 AD71 AF71 AO71 AQ71 AZ71 BB71 BK71 BM71 BV71 BX71 CG71 CI71 CR71 CT71 DC71 DE71 DN71 DP71 DY71 EA71 EJ71 EL71 AD81 AF81 AO81 AQ81 AZ81 BB81 BK81 BM81 BV81 BX81 CG81 CI81 CR81 CT81 DC81 DE81 DN81 DP81 DY81 EA81 EJ81 EL81 AD85 AF85 AO85 AQ85 AZ85 BB85 BK85 BM85 BV85 BX85 CG85 CI85 CR85 CT85 DC85 DE85 DN85 DP85 DY85 EA85 EJ85 EL8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Y7 BA7 BJ7 BL7 BU7 BW7 CF7 CH7 CQ7 CS7 DB7 DD7 DM7 DO7 DX7 DZ7 EI7 EK7 AN15 AP15 AC47 AE47 AN47 AP47 AY47 BA47 BJ47 BL47 BU47 BW47 CF47 CH47 CQ47 CS47 DB47 DD47 DM47 DO47 DX47 DZ47 EI47 EK47 AC49 AE49 AN49 AP49 AY49 BA49 BJ49 BL49 BU49 BW49 CF49 CH49 CQ49 CS49 DB49 DD49 DM49 DO49 DX49 DZ49 EI49 EK49 AC51 AE51 AN51 AP51 AY51 BA51 BJ51 BL51 BU51 BW51 CF51 CH51 CQ51 CS51 DB51 DD51 DM51 DO51 DX51 DZ51 EI51 EK51 AC55 AE55 AN55 AP55 AY55 BA55 BJ55 BL55 BU55 BW55 CF55 CH55 CQ55 CS55 DB55 DD55 DM55 DO55 DX55 DZ55 EI55 EK55 AC57 AE57 AN57 AP57 AY57 BA57 BJ57 BL57 BU57 BW57 CF57 CH57 CQ57 CS57 DB57 DD57 DM57 DO57 DX57 DZ57 EI57 EK57 AC67 AE67 AN67 AP67 AY67 BA67 BJ67 BL67 BU67 BW67 CF67 CH67 CQ67 CS67 DB67 DD67 DM67 DO67 DX67 DZ67 EI67 EK67 AC71 AE71 AN71 AP71 AY71 BA71 BJ71 BL71 BU71 BW71 CF71 CH71 CQ71 CS71 DB71 DD71 DM71 DO71 DX71 DZ71 EI71 EK71 AC81 AE81 AN81 AP81 AY81 BA81 BJ81 BL81 BU81 BW81 CF81 CH81 CQ81 CS81 DB81 DD81 DM81 DO81 DX81 DZ81 EI81 EK81 AC85 AE85 AN85 AP85 AY85 BA85 BJ85 BL85 BU85 BW85 CF85 CH85 CQ85 CS85 DB85 DD85 DM85 DO85 DX85 DZ85 EI85 EK85"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G5:AQ5 EM5 T7 AG45:AQ45 EM45 T47 T49 T51 T55 T57 AG65:AQ65 EM65 T67 T71 AG79:AQ79 EM79 T81 T85"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X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71"/>
    <col collapsed="false" customWidth="true" hidden="false" outlineLevel="0" max="18" min="17" style="414" width="3.71"/>
    <col collapsed="false" customWidth="true" hidden="false" outlineLevel="0" max="19" min="19" style="75" width="12.71"/>
    <col collapsed="false" customWidth="true" hidden="false" outlineLevel="0" max="20" min="20" style="42" width="35.71"/>
    <col collapsed="false" customWidth="true" hidden="false" outlineLevel="0" max="21" min="21" style="42" width="0.14"/>
    <col collapsed="false" customWidth="true" hidden="true" outlineLevel="0" max="28" min="22" style="42" width="19.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9" min="33" style="42" width="19.71"/>
    <col collapsed="false" customWidth="true" hidden="false" outlineLevel="0" max="40" min="40" style="42" width="11.71"/>
    <col collapsed="false" customWidth="true" hidden="false" outlineLevel="0" max="41" min="41" style="42" width="3.71"/>
    <col collapsed="false" customWidth="true" hidden="false" outlineLevel="0" max="42" min="42" style="42" width="11.71"/>
    <col collapsed="false" customWidth="true" hidden="true" outlineLevel="0" max="43" min="43" style="42" width="8.57"/>
    <col collapsed="false" customWidth="true" hidden="false" outlineLevel="0" max="44" min="44" style="42" width="4.71"/>
    <col collapsed="false" customWidth="true" hidden="false" outlineLevel="0" max="45" min="45" style="42" width="115.71"/>
    <col collapsed="false" customWidth="false" hidden="false" outlineLevel="0" max="47" min="46" style="47" width="10.57"/>
    <col collapsed="false" customWidth="true" hidden="false" outlineLevel="0" max="48" min="48" style="47" width="11.14"/>
    <col collapsed="false" customWidth="false" hidden="false" outlineLevel="0" max="50" min="49" style="47" width="10.57"/>
  </cols>
  <sheetData>
    <row r="1" customFormat="false" ht="14.25" hidden="true" customHeight="true" outlineLevel="0" collapsed="false"/>
    <row r="2" customFormat="false" ht="23.25" hidden="true" customHeight="true" outlineLevel="0" collapsed="false">
      <c r="A2" s="415"/>
      <c r="B2" s="415"/>
      <c r="C2" s="415"/>
      <c r="D2" s="415"/>
      <c r="E2" s="416" t="n">
        <v>1</v>
      </c>
      <c r="F2" s="415"/>
      <c r="G2" s="415"/>
      <c r="H2" s="415"/>
      <c r="I2" s="415"/>
      <c r="J2" s="415"/>
      <c r="K2" s="415"/>
      <c r="L2" s="417"/>
      <c r="M2" s="40"/>
      <c r="N2" s="40"/>
      <c r="O2" s="40"/>
      <c r="Q2" s="131"/>
      <c r="R2" s="418"/>
      <c r="S2" s="419" t="e">
        <f aca="false">INDEX(PT_DIFFERENTIATION_NUM_NTAR,MATCH(A2,PT_DIFFERENTIATION_NTAR_ID,0))</f>
        <v>#N/A</v>
      </c>
      <c r="T2" s="420" t="s">
        <v>130</v>
      </c>
      <c r="U2" s="421"/>
      <c r="V2" s="422"/>
      <c r="W2" s="422"/>
      <c r="X2" s="422"/>
      <c r="Y2" s="422"/>
      <c r="Z2" s="422"/>
      <c r="AA2" s="422"/>
      <c r="AB2" s="422"/>
      <c r="AC2" s="422"/>
      <c r="AD2" s="422"/>
      <c r="AE2" s="422"/>
      <c r="AF2" s="422"/>
      <c r="AG2" s="423" t="e">
        <f aca="false">INDEX(PT_DIFFERENTIATION_NTAR,MATCH(A2,PT_DIFFERENTIATION_NTAR_ID,0))</f>
        <v>#N/A</v>
      </c>
      <c r="AH2" s="423"/>
      <c r="AI2" s="423"/>
      <c r="AJ2" s="423"/>
      <c r="AK2" s="423"/>
      <c r="AL2" s="423"/>
      <c r="AM2" s="423"/>
      <c r="AN2" s="423"/>
      <c r="AO2" s="423"/>
      <c r="AP2" s="423"/>
      <c r="AQ2" s="423"/>
      <c r="AR2" s="423"/>
      <c r="AS2" s="42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117"/>
      <c r="AV2" s="117" t="str">
        <f aca="false">IF(T2="","",T2)</f>
        <v>Наименование тарифа</v>
      </c>
      <c r="AW2" s="117"/>
      <c r="AX2" s="117"/>
    </row>
    <row r="3" customFormat="false" ht="23.25" hidden="true" customHeight="true" outlineLevel="0" collapsed="false">
      <c r="A3" s="415"/>
      <c r="B3" s="415"/>
      <c r="C3" s="415"/>
      <c r="D3" s="415"/>
      <c r="E3" s="416"/>
      <c r="F3" s="416" t="n">
        <v>1</v>
      </c>
      <c r="G3" s="415"/>
      <c r="H3" s="415"/>
      <c r="I3" s="415"/>
      <c r="J3" s="415"/>
      <c r="K3" s="415"/>
      <c r="L3" s="417"/>
      <c r="M3" s="40"/>
      <c r="N3" s="40"/>
      <c r="O3" s="40"/>
      <c r="P3" s="43"/>
      <c r="Q3" s="425"/>
      <c r="R3" s="426"/>
      <c r="S3" s="419" t="e">
        <f aca="false">INDEX(PT_DIFFERENTIATION_NUM_TER,MATCH(B3,PT_DIFFERENTIATION_TER_ID,0))</f>
        <v>#N/A</v>
      </c>
      <c r="T3" s="427" t="s">
        <v>413</v>
      </c>
      <c r="U3" s="421"/>
      <c r="V3" s="422"/>
      <c r="W3" s="422"/>
      <c r="X3" s="422"/>
      <c r="Y3" s="422"/>
      <c r="Z3" s="422"/>
      <c r="AA3" s="422"/>
      <c r="AB3" s="422"/>
      <c r="AC3" s="422"/>
      <c r="AD3" s="422"/>
      <c r="AE3" s="422"/>
      <c r="AF3" s="422"/>
      <c r="AG3" s="423" t="e">
        <f aca="false">INDEX(PT_DIFFERENTIATION_TER,MATCH(B3,PT_DIFFERENTIATION_TER_ID,0))</f>
        <v>#N/A</v>
      </c>
      <c r="AH3" s="423"/>
      <c r="AI3" s="423"/>
      <c r="AJ3" s="423"/>
      <c r="AK3" s="423"/>
      <c r="AL3" s="423"/>
      <c r="AM3" s="423"/>
      <c r="AN3" s="423"/>
      <c r="AO3" s="423"/>
      <c r="AP3" s="423"/>
      <c r="AQ3" s="423"/>
      <c r="AR3" s="423"/>
      <c r="AS3" s="424" t="s">
        <v>414</v>
      </c>
      <c r="AU3" s="117"/>
      <c r="AV3" s="117" t="str">
        <f aca="false">IF(T3="","",T3)</f>
        <v>Территория действия тарифа</v>
      </c>
      <c r="AW3" s="117"/>
      <c r="AX3" s="117"/>
    </row>
    <row r="4" customFormat="false" ht="23.25" hidden="true" customHeight="true" outlineLevel="0" collapsed="false">
      <c r="A4" s="415"/>
      <c r="B4" s="415"/>
      <c r="C4" s="415"/>
      <c r="D4" s="415"/>
      <c r="E4" s="416"/>
      <c r="F4" s="416"/>
      <c r="G4" s="416" t="n">
        <v>1</v>
      </c>
      <c r="H4" s="415"/>
      <c r="I4" s="415"/>
      <c r="J4" s="415"/>
      <c r="K4" s="415"/>
      <c r="L4" s="417"/>
      <c r="M4" s="40"/>
      <c r="N4" s="40"/>
      <c r="O4" s="40"/>
      <c r="P4" s="428"/>
      <c r="Q4" s="425"/>
      <c r="R4" s="426"/>
      <c r="S4" s="419" t="e">
        <f aca="false">INDEX(PT_DIFFERENTIATION_NUM_CS,MATCH(C4,PT_DIFFERENTIATION_CS_ID,0))</f>
        <v>#N/A</v>
      </c>
      <c r="T4" s="429" t="s">
        <v>544</v>
      </c>
      <c r="U4" s="421"/>
      <c r="V4" s="422"/>
      <c r="W4" s="422"/>
      <c r="X4" s="422"/>
      <c r="Y4" s="422"/>
      <c r="Z4" s="422"/>
      <c r="AA4" s="422"/>
      <c r="AB4" s="422"/>
      <c r="AC4" s="422"/>
      <c r="AD4" s="422"/>
      <c r="AE4" s="422"/>
      <c r="AF4" s="422"/>
      <c r="AG4" s="423" t="e">
        <f aca="false">INDEX(PT_DIFFERENTIATION_CS,MATCH(C4,PT_DIFFERENTIATION_CS_ID,0))</f>
        <v>#N/A</v>
      </c>
      <c r="AH4" s="423"/>
      <c r="AI4" s="423"/>
      <c r="AJ4" s="423"/>
      <c r="AK4" s="423"/>
      <c r="AL4" s="423"/>
      <c r="AM4" s="423"/>
      <c r="AN4" s="423"/>
      <c r="AO4" s="423"/>
      <c r="AP4" s="423"/>
      <c r="AQ4" s="423"/>
      <c r="AR4" s="423"/>
      <c r="AS4" s="424" t="s">
        <v>545</v>
      </c>
      <c r="AU4" s="117"/>
      <c r="AV4" s="117" t="str">
        <f aca="false">IF(T4="","",T4)</f>
        <v>Наименование централизованной системы горячего водоснабжения</v>
      </c>
      <c r="AW4" s="117"/>
      <c r="AX4" s="117"/>
    </row>
    <row r="5" customFormat="false" ht="23.25" hidden="true" customHeight="true" outlineLevel="0" collapsed="false">
      <c r="A5" s="415"/>
      <c r="B5" s="415"/>
      <c r="C5" s="415"/>
      <c r="D5" s="415"/>
      <c r="E5" s="416"/>
      <c r="F5" s="416"/>
      <c r="G5" s="416"/>
      <c r="H5" s="560"/>
      <c r="I5" s="431" t="e">
        <f aca="false">S4&amp;".1"</f>
        <v>#N/A</v>
      </c>
      <c r="J5" s="415"/>
      <c r="K5" s="415"/>
      <c r="L5" s="417"/>
      <c r="P5" s="120" t="n">
        <v>1</v>
      </c>
      <c r="Q5" s="120"/>
      <c r="R5" s="432"/>
      <c r="S5" s="419" t="e">
        <f aca="false">$I5</f>
        <v>#N/A</v>
      </c>
      <c r="T5" s="433" t="s">
        <v>497</v>
      </c>
      <c r="U5" s="421"/>
      <c r="V5" s="561"/>
      <c r="W5" s="561"/>
      <c r="X5" s="561"/>
      <c r="Y5" s="561"/>
      <c r="Z5" s="561"/>
      <c r="AA5" s="561"/>
      <c r="AB5" s="561"/>
      <c r="AC5" s="561"/>
      <c r="AD5" s="561"/>
      <c r="AE5" s="561"/>
      <c r="AF5" s="561"/>
      <c r="AG5" s="245"/>
      <c r="AH5" s="245"/>
      <c r="AI5" s="245"/>
      <c r="AJ5" s="245"/>
      <c r="AK5" s="245"/>
      <c r="AL5" s="245"/>
      <c r="AM5" s="245"/>
      <c r="AN5" s="245"/>
      <c r="AO5" s="245"/>
      <c r="AP5" s="245"/>
      <c r="AQ5" s="245"/>
      <c r="AR5" s="245"/>
      <c r="AS5" s="424" t="s">
        <v>498</v>
      </c>
      <c r="AU5" s="117"/>
      <c r="AV5" s="117" t="str">
        <f aca="false">IF(T5="","",T5)</f>
        <v>Наименование признака дифференциации</v>
      </c>
      <c r="AW5" s="117"/>
      <c r="AX5" s="117"/>
    </row>
    <row r="6" customFormat="false" ht="23.25" hidden="true" customHeight="true" outlineLevel="0" collapsed="false">
      <c r="A6" s="415"/>
      <c r="B6" s="415"/>
      <c r="C6" s="415"/>
      <c r="D6" s="415"/>
      <c r="E6" s="416"/>
      <c r="F6" s="416"/>
      <c r="G6" s="416"/>
      <c r="H6" s="416"/>
      <c r="I6" s="431"/>
      <c r="J6" s="431" t="e">
        <f aca="false">I5&amp;".1"</f>
        <v>#N/A</v>
      </c>
      <c r="K6" s="415"/>
      <c r="L6" s="417" t="s">
        <v>422</v>
      </c>
      <c r="P6" s="120"/>
      <c r="Q6" s="120" t="n">
        <v>1</v>
      </c>
      <c r="R6" s="435"/>
      <c r="S6" s="419" t="e">
        <f aca="false">$J6</f>
        <v>#N/A</v>
      </c>
      <c r="T6" s="436" t="s">
        <v>423</v>
      </c>
      <c r="U6" s="421"/>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514" t="s">
        <v>499</v>
      </c>
      <c r="AU6" s="117"/>
      <c r="AV6" s="117" t="str">
        <f aca="false">IF(T6="","",T6)</f>
        <v>Группа потребителей</v>
      </c>
      <c r="AW6" s="117"/>
      <c r="AX6" s="117"/>
    </row>
    <row r="7" customFormat="false" ht="23.25" hidden="true" customHeight="true" outlineLevel="0" collapsed="false">
      <c r="A7" s="415"/>
      <c r="B7" s="415"/>
      <c r="C7" s="415"/>
      <c r="D7" s="415"/>
      <c r="E7" s="416"/>
      <c r="F7" s="416"/>
      <c r="G7" s="416"/>
      <c r="H7" s="416"/>
      <c r="I7" s="431"/>
      <c r="J7" s="431"/>
      <c r="K7" s="431" t="e">
        <f aca="false">J6&amp;".1"</f>
        <v>#N/A</v>
      </c>
      <c r="L7" s="417"/>
      <c r="P7" s="120"/>
      <c r="Q7" s="120"/>
      <c r="R7" s="435" t="n">
        <v>1</v>
      </c>
      <c r="S7" s="419" t="e">
        <f aca="false">$K7</f>
        <v>#N/A</v>
      </c>
      <c r="T7" s="562"/>
      <c r="U7" s="421"/>
      <c r="V7" s="438"/>
      <c r="W7" s="438"/>
      <c r="X7" s="438"/>
      <c r="Y7" s="438"/>
      <c r="Z7" s="438"/>
      <c r="AA7" s="438"/>
      <c r="AB7" s="440"/>
      <c r="AC7" s="441"/>
      <c r="AD7" s="203" t="s">
        <v>63</v>
      </c>
      <c r="AE7" s="441"/>
      <c r="AF7" s="203" t="s">
        <v>63</v>
      </c>
      <c r="AG7" s="438"/>
      <c r="AH7" s="438"/>
      <c r="AI7" s="438"/>
      <c r="AJ7" s="438"/>
      <c r="AK7" s="438"/>
      <c r="AL7" s="438"/>
      <c r="AM7" s="440"/>
      <c r="AN7" s="441"/>
      <c r="AO7" s="203" t="s">
        <v>63</v>
      </c>
      <c r="AP7" s="441"/>
      <c r="AQ7" s="203" t="s">
        <v>63</v>
      </c>
      <c r="AR7" s="563"/>
      <c r="AS7" s="56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7" t="e">
        <f aca="false">strcheckdate(V8:AR8)</f>
        <v>#NAME?</v>
      </c>
      <c r="AU7" s="117"/>
      <c r="AV7" s="117" t="str">
        <f aca="false">IF(T7="","",T7)</f>
        <v/>
      </c>
      <c r="AW7" s="117"/>
      <c r="AX7" s="117"/>
    </row>
    <row r="8" customFormat="false" ht="14.25" hidden="true" customHeight="true" outlineLevel="0" collapsed="false">
      <c r="A8" s="415"/>
      <c r="B8" s="415"/>
      <c r="C8" s="415"/>
      <c r="D8" s="415"/>
      <c r="E8" s="416"/>
      <c r="F8" s="416"/>
      <c r="G8" s="416"/>
      <c r="H8" s="416"/>
      <c r="I8" s="431"/>
      <c r="J8" s="431"/>
      <c r="K8" s="431"/>
      <c r="L8" s="417"/>
      <c r="P8" s="120"/>
      <c r="Q8" s="120"/>
      <c r="R8" s="435"/>
      <c r="S8" s="396"/>
      <c r="T8" s="421"/>
      <c r="U8" s="421"/>
      <c r="V8" s="439"/>
      <c r="W8" s="439"/>
      <c r="X8" s="439"/>
      <c r="Y8" s="439"/>
      <c r="Z8" s="439"/>
      <c r="AA8" s="439"/>
      <c r="AB8" s="443" t="str">
        <f aca="false">AC7&amp;"-"&amp;AE7</f>
        <v>-</v>
      </c>
      <c r="AC8" s="441"/>
      <c r="AD8" s="203"/>
      <c r="AE8" s="441"/>
      <c r="AF8" s="203"/>
      <c r="AG8" s="439"/>
      <c r="AH8" s="439"/>
      <c r="AI8" s="439"/>
      <c r="AJ8" s="439"/>
      <c r="AK8" s="439"/>
      <c r="AL8" s="439"/>
      <c r="AM8" s="443" t="str">
        <f aca="false">AN7&amp;"-"&amp;AP7</f>
        <v>-</v>
      </c>
      <c r="AN8" s="441"/>
      <c r="AO8" s="203"/>
      <c r="AP8" s="441"/>
      <c r="AQ8" s="203"/>
      <c r="AR8" s="565"/>
      <c r="AS8" s="564"/>
      <c r="AU8" s="117"/>
      <c r="AV8" s="117" t="str">
        <f aca="false">IF(T8="","",T8)</f>
        <v/>
      </c>
      <c r="AW8" s="117"/>
      <c r="AX8" s="117"/>
    </row>
    <row r="9" customFormat="false" ht="21" hidden="true" customHeight="true" outlineLevel="0" collapsed="false">
      <c r="A9" s="415"/>
      <c r="B9" s="415"/>
      <c r="C9" s="415"/>
      <c r="D9" s="415"/>
      <c r="E9" s="416"/>
      <c r="F9" s="416"/>
      <c r="G9" s="416"/>
      <c r="H9" s="416"/>
      <c r="I9" s="431"/>
      <c r="J9" s="431"/>
      <c r="K9" s="415"/>
      <c r="L9" s="417"/>
      <c r="P9" s="120"/>
      <c r="Q9" s="120"/>
      <c r="R9" s="432"/>
      <c r="S9" s="444"/>
      <c r="T9" s="447" t="s">
        <v>500</v>
      </c>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424" t="s">
        <v>501</v>
      </c>
      <c r="AU9" s="117"/>
      <c r="AV9" s="117" t="str">
        <f aca="false">IF(T9="","",T9)</f>
        <v>Добавить значение признака дифференциации</v>
      </c>
      <c r="AW9" s="117"/>
      <c r="AX9" s="117"/>
    </row>
    <row r="10" customFormat="false" ht="21" hidden="true" customHeight="true" outlineLevel="0" collapsed="false">
      <c r="A10" s="415"/>
      <c r="B10" s="415"/>
      <c r="C10" s="415"/>
      <c r="D10" s="415"/>
      <c r="E10" s="416"/>
      <c r="F10" s="416"/>
      <c r="G10" s="416"/>
      <c r="H10" s="416"/>
      <c r="I10" s="431"/>
      <c r="J10" s="415"/>
      <c r="K10" s="415"/>
      <c r="L10" s="417"/>
      <c r="P10" s="120"/>
      <c r="Q10" s="120"/>
      <c r="R10" s="432"/>
      <c r="S10" s="444"/>
      <c r="T10" s="451" t="s">
        <v>428</v>
      </c>
      <c r="U10" s="193"/>
      <c r="V10" s="193"/>
      <c r="W10" s="193"/>
      <c r="X10" s="193"/>
      <c r="Y10" s="193"/>
      <c r="Z10" s="193"/>
      <c r="AA10" s="193"/>
      <c r="AB10" s="193"/>
      <c r="AC10" s="193"/>
      <c r="AD10" s="193"/>
      <c r="AE10" s="193"/>
      <c r="AF10" s="448"/>
      <c r="AG10" s="193"/>
      <c r="AH10" s="193"/>
      <c r="AI10" s="193"/>
      <c r="AJ10" s="193"/>
      <c r="AK10" s="193"/>
      <c r="AL10" s="193"/>
      <c r="AM10" s="193"/>
      <c r="AN10" s="193"/>
      <c r="AO10" s="193"/>
      <c r="AP10" s="193"/>
      <c r="AQ10" s="448"/>
      <c r="AR10" s="193"/>
      <c r="AS10" s="566"/>
      <c r="AU10" s="117"/>
      <c r="AV10" s="117" t="str">
        <f aca="false">IF(T10="","",T10)</f>
        <v>Добавить группу потребителей</v>
      </c>
      <c r="AW10" s="117"/>
      <c r="AX10" s="117"/>
    </row>
    <row r="11" customFormat="false" ht="21" hidden="true" customHeight="true" outlineLevel="0" collapsed="false">
      <c r="A11" s="415"/>
      <c r="B11" s="415"/>
      <c r="C11" s="415"/>
      <c r="D11" s="415"/>
      <c r="E11" s="416"/>
      <c r="F11" s="416"/>
      <c r="G11" s="416"/>
      <c r="H11" s="560"/>
      <c r="I11" s="415"/>
      <c r="J11" s="415"/>
      <c r="K11" s="415"/>
      <c r="L11" s="417"/>
      <c r="M11" s="40"/>
      <c r="N11" s="40"/>
      <c r="O11" s="45"/>
      <c r="P11" s="131"/>
      <c r="Q11" s="450"/>
      <c r="R11" s="418"/>
      <c r="S11" s="444"/>
      <c r="T11" s="567" t="s">
        <v>502</v>
      </c>
      <c r="U11" s="193"/>
      <c r="V11" s="193"/>
      <c r="W11" s="193"/>
      <c r="X11" s="193"/>
      <c r="Y11" s="193"/>
      <c r="Z11" s="193"/>
      <c r="AA11" s="193"/>
      <c r="AB11" s="193"/>
      <c r="AC11" s="193"/>
      <c r="AD11" s="193"/>
      <c r="AE11" s="193"/>
      <c r="AF11" s="448"/>
      <c r="AG11" s="193"/>
      <c r="AH11" s="193"/>
      <c r="AI11" s="193"/>
      <c r="AJ11" s="193"/>
      <c r="AK11" s="193"/>
      <c r="AL11" s="193"/>
      <c r="AM11" s="193"/>
      <c r="AN11" s="193"/>
      <c r="AO11" s="193"/>
      <c r="AP11" s="193"/>
      <c r="AQ11" s="448"/>
      <c r="AR11" s="193"/>
      <c r="AS11" s="449"/>
      <c r="AU11" s="117"/>
      <c r="AV11" s="117" t="str">
        <f aca="false">IF(T11="","",T11)</f>
        <v>Добавить наименование признака дифференциации</v>
      </c>
      <c r="AW11" s="117"/>
      <c r="AX11" s="117"/>
    </row>
    <row r="12" s="47" customFormat="true" ht="14.25" hidden="true" customHeight="true" outlineLevel="0" collapsed="false">
      <c r="A12" s="121"/>
      <c r="B12" s="121"/>
      <c r="C12" s="121"/>
      <c r="D12" s="121"/>
      <c r="E12" s="416"/>
      <c r="F12" s="416"/>
      <c r="G12" s="121"/>
      <c r="H12" s="121"/>
      <c r="I12" s="121"/>
      <c r="J12" s="121"/>
      <c r="K12" s="121"/>
      <c r="L12" s="191"/>
      <c r="M12" s="456"/>
      <c r="N12" s="456"/>
      <c r="P12" s="155"/>
      <c r="Q12" s="452"/>
      <c r="R12" s="155"/>
      <c r="S12" s="457"/>
      <c r="T12" s="460" t="s">
        <v>261</v>
      </c>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U12" s="117"/>
      <c r="AV12" s="117" t="str">
        <f aca="false">IF(T12="","",T12)</f>
        <v>Добавить централизованную систему для дифференциации</v>
      </c>
      <c r="AW12" s="117"/>
      <c r="AX12" s="117"/>
    </row>
    <row r="13" s="47" customFormat="true" ht="14.25" hidden="true" customHeight="true" outlineLevel="0" collapsed="false">
      <c r="A13" s="121"/>
      <c r="B13" s="121"/>
      <c r="C13" s="121"/>
      <c r="D13" s="121"/>
      <c r="E13" s="416"/>
      <c r="F13" s="121"/>
      <c r="G13" s="121"/>
      <c r="H13" s="121"/>
      <c r="I13" s="121"/>
      <c r="J13" s="121"/>
      <c r="K13" s="121"/>
      <c r="L13" s="191"/>
      <c r="M13" s="456"/>
      <c r="N13" s="456"/>
      <c r="P13" s="155"/>
      <c r="Q13" s="452"/>
      <c r="R13" s="155"/>
      <c r="S13" s="457"/>
      <c r="T13" s="460" t="s">
        <v>268</v>
      </c>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U13" s="117"/>
      <c r="AV13" s="117" t="str">
        <f aca="false">IF(T13="","",T13)</f>
        <v>Добавить территорию для дифференциации</v>
      </c>
      <c r="AW13" s="117"/>
      <c r="AX13" s="117"/>
    </row>
    <row r="14" customFormat="false" ht="14.25" hidden="true" customHeight="true" outlineLevel="0" collapsed="false"/>
    <row r="15" customFormat="false" ht="14.25" hidden="true" customHeight="true" outlineLevel="0" collapsed="false">
      <c r="AG15" s="461"/>
      <c r="AH15" s="461"/>
      <c r="AI15" s="461"/>
      <c r="AJ15" s="461"/>
      <c r="AK15" s="461"/>
      <c r="AL15" s="461"/>
      <c r="AM15" s="462"/>
      <c r="AN15" s="463"/>
      <c r="AO15" s="464" t="s">
        <v>63</v>
      </c>
      <c r="AP15" s="463"/>
      <c r="AQ15" s="464" t="s">
        <v>63</v>
      </c>
    </row>
    <row r="16" customFormat="false" ht="14.25" hidden="true" customHeight="true" outlineLevel="0" collapsed="false">
      <c r="AG16" s="461"/>
      <c r="AH16" s="461"/>
      <c r="AI16" s="461"/>
      <c r="AJ16" s="461"/>
      <c r="AK16" s="461"/>
      <c r="AL16" s="461"/>
      <c r="AM16" s="443" t="str">
        <f aca="false">AN15&amp;"-"&amp;AP15</f>
        <v>-</v>
      </c>
      <c r="AN16" s="463"/>
      <c r="AO16" s="463"/>
      <c r="AP16" s="463"/>
      <c r="AQ16" s="463"/>
    </row>
    <row r="17" customFormat="false" ht="14.25" hidden="true" customHeight="true" outlineLevel="0" collapsed="false"/>
    <row r="18" s="45" customFormat="true" ht="22.5" hidden="true" customHeight="true" outlineLevel="0" collapsed="false">
      <c r="L18" s="44"/>
      <c r="M18" s="51"/>
      <c r="N18" s="51"/>
      <c r="O18" s="465" t="s">
        <v>431</v>
      </c>
      <c r="P18" s="51"/>
      <c r="Q18" s="466"/>
      <c r="R18" s="466"/>
      <c r="S18" s="40"/>
      <c r="AC18" s="465"/>
      <c r="AE18" s="465"/>
      <c r="AN18" s="465"/>
      <c r="AP18" s="465"/>
      <c r="AT18" s="47"/>
      <c r="AU18" s="47"/>
      <c r="AV18" s="47"/>
      <c r="AW18" s="47"/>
      <c r="AX18" s="47"/>
    </row>
    <row r="19" s="45" customFormat="true" ht="14.25" hidden="true" customHeight="true" outlineLevel="0" collapsed="false">
      <c r="L19" s="44"/>
      <c r="M19" s="51"/>
      <c r="N19" s="51"/>
      <c r="O19" s="51"/>
      <c r="P19" s="51"/>
      <c r="Q19" s="466"/>
      <c r="R19" s="466"/>
      <c r="S19" s="40"/>
      <c r="AT19" s="47"/>
      <c r="AU19" s="47"/>
      <c r="AV19" s="47"/>
      <c r="AW19" s="47"/>
      <c r="AX19" s="47"/>
    </row>
    <row r="20" s="45" customFormat="true" ht="12" hidden="true" customHeight="true" outlineLevel="0" collapsed="false">
      <c r="L20" s="44"/>
      <c r="M20" s="51"/>
      <c r="N20" s="51"/>
      <c r="O20" s="417" t="s">
        <v>432</v>
      </c>
      <c r="P20" s="51"/>
      <c r="Q20" s="568"/>
      <c r="R20" s="568"/>
      <c r="S20" s="40"/>
      <c r="T20" s="45" t="s">
        <v>433</v>
      </c>
      <c r="AD20" s="139" t="s">
        <v>434</v>
      </c>
      <c r="AF20" s="139" t="s">
        <v>435</v>
      </c>
      <c r="AG20" s="45" t="s">
        <v>433</v>
      </c>
      <c r="AO20" s="139" t="s">
        <v>436</v>
      </c>
      <c r="AQ20" s="139" t="s">
        <v>435</v>
      </c>
    </row>
    <row r="21" customFormat="false" ht="14.25" hidden="true" customHeight="true" outlineLevel="0" collapsed="false">
      <c r="O21" s="417"/>
    </row>
    <row r="22" customFormat="false" ht="14.25" hidden="true" customHeight="true" outlineLevel="0" collapsed="false">
      <c r="O22" s="417"/>
    </row>
    <row r="23" customFormat="false" ht="14.25" hidden="false" customHeight="true" outlineLevel="0" collapsed="false">
      <c r="Q23" s="467"/>
      <c r="R23" s="467"/>
      <c r="S23" s="468"/>
      <c r="T23" s="79"/>
      <c r="U23" s="79"/>
    </row>
    <row r="24" customFormat="false" ht="24.75" hidden="false" customHeight="true" outlineLevel="0" collapsed="false">
      <c r="Q24" s="467"/>
      <c r="R24" s="467"/>
      <c r="S24" s="212" t="str">
        <f aca="false">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4"/>
    </row>
    <row r="25" customFormat="false" ht="14.25" hidden="false" customHeight="true" outlineLevel="0" collapsed="false">
      <c r="Q25" s="467"/>
      <c r="R25" s="467"/>
      <c r="S25" s="265" t="str">
        <f aca="false">IF(org=0,"Не определено",org)</f>
        <v>ООО "Газпром теплоэнерго Ярославль"</v>
      </c>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14"/>
    </row>
    <row r="26" customFormat="false" ht="14.25" hidden="false" customHeight="true" outlineLevel="0" collapsed="false">
      <c r="Q26" s="467"/>
      <c r="R26" s="467"/>
      <c r="S26" s="468"/>
      <c r="T26" s="79"/>
      <c r="U26" s="79"/>
      <c r="V26" s="469"/>
      <c r="W26" s="469"/>
      <c r="X26" s="469"/>
      <c r="Y26" s="469"/>
      <c r="Z26" s="469"/>
      <c r="AA26" s="469"/>
      <c r="AB26" s="469"/>
      <c r="AC26" s="469"/>
      <c r="AD26" s="469"/>
      <c r="AE26" s="469"/>
      <c r="AF26" s="469"/>
      <c r="AG26" s="469"/>
      <c r="AH26" s="469"/>
      <c r="AI26" s="469"/>
      <c r="AJ26" s="469"/>
      <c r="AK26" s="469"/>
      <c r="AL26" s="469"/>
      <c r="AM26" s="469"/>
      <c r="AN26" s="469"/>
      <c r="AO26" s="469"/>
      <c r="AP26" s="469"/>
      <c r="AQ26" s="469"/>
    </row>
    <row r="27" s="174" customFormat="true" ht="25.5" hidden="false" customHeight="true" outlineLevel="0" collapsed="false">
      <c r="A27" s="139"/>
      <c r="B27" s="139"/>
      <c r="C27" s="139"/>
      <c r="D27" s="139"/>
      <c r="E27" s="139"/>
      <c r="F27" s="139"/>
      <c r="G27" s="139"/>
      <c r="H27" s="139"/>
      <c r="I27" s="139"/>
      <c r="J27" s="139"/>
      <c r="K27" s="139"/>
      <c r="L27" s="417"/>
      <c r="M27" s="139"/>
      <c r="N27" s="139"/>
      <c r="O27" s="139"/>
      <c r="S27" s="470" t="s">
        <v>37</v>
      </c>
      <c r="T27" s="470"/>
      <c r="U27" s="471"/>
      <c r="V27" s="472" t="str">
        <f aca="false">IF(TITLE_NAME_OR_PR_CHANGE="",IF(TITLE_NAME_OR_PR="","",TITLE_NAME_OR_PR),TITLE_NAME_OR_PR_CHANGE)</f>
        <v>Министерство тарифного регулирования Ярославской области</v>
      </c>
      <c r="W27" s="472"/>
      <c r="X27" s="472"/>
      <c r="Y27" s="472"/>
      <c r="Z27" s="472"/>
      <c r="AA27" s="472"/>
      <c r="AB27" s="472"/>
      <c r="AC27" s="472"/>
      <c r="AD27" s="472"/>
      <c r="AE27" s="472"/>
      <c r="AF27" s="42"/>
      <c r="AG27" s="472" t="str">
        <f aca="false">IF(TITLE_NAME_OR_PR_CHANGE="",IF(TITLE_NAME_OR_PR="","",TITLE_NAME_OR_PR),TITLE_NAME_OR_PR_CHANGE)</f>
        <v>Министерство тарифного регулирования Ярославской области</v>
      </c>
      <c r="AH27" s="472"/>
      <c r="AI27" s="472"/>
      <c r="AJ27" s="472"/>
      <c r="AK27" s="472"/>
      <c r="AL27" s="472"/>
      <c r="AM27" s="472"/>
      <c r="AN27" s="472"/>
      <c r="AO27" s="472"/>
      <c r="AP27" s="472"/>
      <c r="AQ27" s="42"/>
      <c r="AR27" s="42"/>
      <c r="AS27" s="473"/>
      <c r="AT27" s="117"/>
      <c r="AU27" s="117"/>
      <c r="AV27" s="117"/>
      <c r="AW27" s="117"/>
      <c r="AX27" s="117"/>
    </row>
    <row r="28" s="174" customFormat="true" ht="18.75" hidden="false" customHeight="true" outlineLevel="0" collapsed="false">
      <c r="A28" s="139"/>
      <c r="B28" s="139"/>
      <c r="C28" s="139"/>
      <c r="D28" s="139"/>
      <c r="E28" s="139"/>
      <c r="F28" s="139"/>
      <c r="G28" s="139"/>
      <c r="H28" s="139"/>
      <c r="I28" s="139"/>
      <c r="J28" s="139"/>
      <c r="K28" s="139"/>
      <c r="L28" s="417"/>
      <c r="M28" s="139"/>
      <c r="N28" s="139"/>
      <c r="O28" s="139"/>
      <c r="S28" s="470" t="s">
        <v>437</v>
      </c>
      <c r="T28" s="470"/>
      <c r="U28" s="471"/>
      <c r="V28" s="474" t="str">
        <f aca="false">IF(TITLE_DATE_PR_CHANGE="",IF(TITLE_DATE_PR="","",TITLE_DATE_PR),TITLE_DATE_PR_CHANGE)</f>
        <v>45279.46460648148</v>
      </c>
      <c r="W28" s="474"/>
      <c r="X28" s="474"/>
      <c r="Y28" s="474"/>
      <c r="Z28" s="474"/>
      <c r="AA28" s="474"/>
      <c r="AB28" s="474"/>
      <c r="AC28" s="474"/>
      <c r="AD28" s="474"/>
      <c r="AE28" s="474"/>
      <c r="AF28" s="42"/>
      <c r="AG28" s="474" t="str">
        <f aca="false">IF(TITLE_DATE_PR_CHANGE="",IF(TITLE_DATE_PR="","",TITLE_DATE_PR),TITLE_DATE_PR_CHANGE)</f>
        <v>45279.46460648148</v>
      </c>
      <c r="AH28" s="474"/>
      <c r="AI28" s="474"/>
      <c r="AJ28" s="474"/>
      <c r="AK28" s="474"/>
      <c r="AL28" s="474"/>
      <c r="AM28" s="474"/>
      <c r="AN28" s="474"/>
      <c r="AO28" s="474"/>
      <c r="AP28" s="474"/>
      <c r="AQ28" s="42"/>
      <c r="AR28" s="42"/>
      <c r="AS28" s="473"/>
      <c r="AT28" s="117"/>
      <c r="AU28" s="117"/>
      <c r="AV28" s="117"/>
      <c r="AW28" s="117"/>
      <c r="AX28" s="117"/>
    </row>
    <row r="29" s="174" customFormat="true" ht="18.75" hidden="false" customHeight="true" outlineLevel="0" collapsed="false">
      <c r="A29" s="139"/>
      <c r="B29" s="139"/>
      <c r="C29" s="139"/>
      <c r="D29" s="139"/>
      <c r="E29" s="139"/>
      <c r="F29" s="139"/>
      <c r="G29" s="139"/>
      <c r="H29" s="139"/>
      <c r="I29" s="139"/>
      <c r="J29" s="139"/>
      <c r="K29" s="139"/>
      <c r="L29" s="417"/>
      <c r="M29" s="139"/>
      <c r="N29" s="139"/>
      <c r="O29" s="139"/>
      <c r="S29" s="470" t="s">
        <v>438</v>
      </c>
      <c r="T29" s="470"/>
      <c r="U29" s="471"/>
      <c r="V29" s="472" t="str">
        <f aca="false">IF(TITLE_NUMBER_PR_CHANGE="",IF(TITLE_NUMBER_PR="","",TITLE_NUMBER_PR),TITLE_NUMBER_PR_CHANGE)</f>
        <v>403-гвс, 404-гвс, 406-гвс</v>
      </c>
      <c r="W29" s="472"/>
      <c r="X29" s="472"/>
      <c r="Y29" s="472"/>
      <c r="Z29" s="472"/>
      <c r="AA29" s="472"/>
      <c r="AB29" s="472"/>
      <c r="AC29" s="472"/>
      <c r="AD29" s="472"/>
      <c r="AE29" s="472"/>
      <c r="AF29" s="42"/>
      <c r="AG29" s="472" t="str">
        <f aca="false">IF(TITLE_NUMBER_PR_CHANGE="",IF(TITLE_NUMBER_PR="","",TITLE_NUMBER_PR),TITLE_NUMBER_PR_CHANGE)</f>
        <v>403-гвс, 404-гвс, 406-гвс</v>
      </c>
      <c r="AH29" s="472"/>
      <c r="AI29" s="472"/>
      <c r="AJ29" s="472"/>
      <c r="AK29" s="472"/>
      <c r="AL29" s="472"/>
      <c r="AM29" s="472"/>
      <c r="AN29" s="472"/>
      <c r="AO29" s="472"/>
      <c r="AP29" s="472"/>
      <c r="AQ29" s="42"/>
      <c r="AR29" s="42"/>
      <c r="AS29" s="473"/>
      <c r="AT29" s="117"/>
      <c r="AU29" s="117"/>
      <c r="AV29" s="117"/>
      <c r="AW29" s="117"/>
      <c r="AX29" s="117"/>
    </row>
    <row r="30" s="174" customFormat="true" ht="18.75" hidden="false" customHeight="true" outlineLevel="0" collapsed="false">
      <c r="A30" s="139"/>
      <c r="B30" s="139"/>
      <c r="C30" s="139"/>
      <c r="D30" s="139"/>
      <c r="E30" s="139"/>
      <c r="F30" s="139"/>
      <c r="G30" s="139"/>
      <c r="H30" s="139"/>
      <c r="I30" s="139"/>
      <c r="J30" s="139"/>
      <c r="K30" s="139"/>
      <c r="L30" s="417"/>
      <c r="M30" s="139"/>
      <c r="N30" s="139"/>
      <c r="O30" s="139"/>
      <c r="S30" s="470" t="s">
        <v>39</v>
      </c>
      <c r="T30" s="470"/>
      <c r="U30" s="471"/>
      <c r="V30" s="472" t="str">
        <f aca="false">IF(TITLE_IST_PUB_CHANGE="",IF(TITLE_IST_PUB="","",TITLE_IST_PUB),TITLE_IST_PUB_CHANGE)</f>
        <v>официальный интернет- портал правовой информации www.pravo.gov.ru</v>
      </c>
      <c r="W30" s="472"/>
      <c r="X30" s="472"/>
      <c r="Y30" s="472"/>
      <c r="Z30" s="472"/>
      <c r="AA30" s="472"/>
      <c r="AB30" s="472"/>
      <c r="AC30" s="472"/>
      <c r="AD30" s="472"/>
      <c r="AE30" s="472"/>
      <c r="AF30" s="42"/>
      <c r="AG30" s="472" t="str">
        <f aca="false">IF(TITLE_IST_PUB_CHANGE="",IF(TITLE_IST_PUB="","",TITLE_IST_PUB),TITLE_IST_PUB_CHANGE)</f>
        <v>официальный интернет- портал правовой информации www.pravo.gov.ru</v>
      </c>
      <c r="AH30" s="472"/>
      <c r="AI30" s="472"/>
      <c r="AJ30" s="472"/>
      <c r="AK30" s="472"/>
      <c r="AL30" s="472"/>
      <c r="AM30" s="472"/>
      <c r="AN30" s="472"/>
      <c r="AO30" s="472"/>
      <c r="AP30" s="472"/>
      <c r="AQ30" s="42"/>
      <c r="AR30" s="42"/>
      <c r="AS30" s="473"/>
      <c r="AT30" s="117"/>
      <c r="AU30" s="117"/>
      <c r="AV30" s="117"/>
      <c r="AW30" s="117"/>
      <c r="AX30" s="117"/>
    </row>
    <row r="31" customFormat="false" ht="14.25" hidden="true" customHeight="true" outlineLevel="0" collapsed="false">
      <c r="Q31" s="467"/>
      <c r="R31" s="467"/>
      <c r="S31" s="468"/>
      <c r="T31" s="79"/>
      <c r="U31" s="79"/>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row>
    <row r="32" s="174" customFormat="true" ht="18.75" hidden="true" customHeight="true" outlineLevel="0" collapsed="false">
      <c r="A32" s="139"/>
      <c r="B32" s="139"/>
      <c r="C32" s="139"/>
      <c r="D32" s="139"/>
      <c r="E32" s="139"/>
      <c r="F32" s="139"/>
      <c r="G32" s="139"/>
      <c r="H32" s="139"/>
      <c r="I32" s="139"/>
      <c r="J32" s="139"/>
      <c r="K32" s="139"/>
      <c r="L32" s="417"/>
      <c r="M32" s="139"/>
      <c r="N32" s="139"/>
      <c r="O32" s="139"/>
      <c r="S32" s="470" t="s">
        <v>439</v>
      </c>
      <c r="T32" s="470"/>
      <c r="U32" s="471"/>
      <c r="V32" s="474" t="str">
        <f aca="false">IF(TITLE_DATE_PR_CHANGE="",IF(TITLE_DATE_PR="","",TITLE_DATE_PR),TITLE_DATE_PR_CHANGE)</f>
        <v>45279.46460648148</v>
      </c>
      <c r="W32" s="474"/>
      <c r="X32" s="474"/>
      <c r="Y32" s="474"/>
      <c r="Z32" s="474"/>
      <c r="AA32" s="474"/>
      <c r="AB32" s="474"/>
      <c r="AC32" s="474"/>
      <c r="AD32" s="474"/>
      <c r="AE32" s="474"/>
      <c r="AF32" s="42"/>
      <c r="AG32" s="474" t="str">
        <f aca="false">IF(TITLE_DATE_PR_CHANGE="",IF(TITLE_DATE_PR="","",TITLE_DATE_PR),TITLE_DATE_PR_CHANGE)</f>
        <v>45279.46460648148</v>
      </c>
      <c r="AH32" s="474"/>
      <c r="AI32" s="474"/>
      <c r="AJ32" s="474"/>
      <c r="AK32" s="474"/>
      <c r="AL32" s="474"/>
      <c r="AM32" s="474"/>
      <c r="AN32" s="474"/>
      <c r="AO32" s="474"/>
      <c r="AP32" s="474"/>
      <c r="AQ32" s="42"/>
      <c r="AR32" s="42"/>
      <c r="AS32" s="473"/>
      <c r="AT32" s="117"/>
      <c r="AU32" s="117"/>
      <c r="AV32" s="117"/>
      <c r="AW32" s="117"/>
      <c r="AX32" s="117"/>
    </row>
    <row r="33" s="174" customFormat="true" ht="18.75" hidden="true" customHeight="true" outlineLevel="0" collapsed="false">
      <c r="A33" s="139"/>
      <c r="B33" s="139"/>
      <c r="C33" s="139"/>
      <c r="D33" s="139"/>
      <c r="E33" s="139"/>
      <c r="F33" s="139"/>
      <c r="G33" s="139"/>
      <c r="H33" s="139"/>
      <c r="I33" s="139"/>
      <c r="J33" s="139"/>
      <c r="K33" s="139"/>
      <c r="L33" s="417"/>
      <c r="M33" s="139"/>
      <c r="N33" s="139"/>
      <c r="O33" s="139"/>
      <c r="S33" s="470" t="s">
        <v>440</v>
      </c>
      <c r="T33" s="470"/>
      <c r="U33" s="471"/>
      <c r="V33" s="472" t="str">
        <f aca="false">IF(TITLE_NUMBER_PR_CHANGE="",IF(TITLE_NUMBER_PR="","",TITLE_NUMBER_PR),TITLE_NUMBER_PR_CHANGE)</f>
        <v>403-гвс, 404-гвс, 406-гвс</v>
      </c>
      <c r="W33" s="472"/>
      <c r="X33" s="472"/>
      <c r="Y33" s="472"/>
      <c r="Z33" s="472"/>
      <c r="AA33" s="472"/>
      <c r="AB33" s="472"/>
      <c r="AC33" s="472"/>
      <c r="AD33" s="472"/>
      <c r="AE33" s="472"/>
      <c r="AF33" s="42"/>
      <c r="AG33" s="472" t="str">
        <f aca="false">IF(TITLE_NUMBER_PR_CHANGE="",IF(TITLE_NUMBER_PR="","",TITLE_NUMBER_PR),TITLE_NUMBER_PR_CHANGE)</f>
        <v>403-гвс, 404-гвс, 406-гвс</v>
      </c>
      <c r="AH33" s="472"/>
      <c r="AI33" s="472"/>
      <c r="AJ33" s="472"/>
      <c r="AK33" s="472"/>
      <c r="AL33" s="472"/>
      <c r="AM33" s="472"/>
      <c r="AN33" s="472"/>
      <c r="AO33" s="472"/>
      <c r="AP33" s="472"/>
      <c r="AQ33" s="42"/>
      <c r="AR33" s="42"/>
      <c r="AS33" s="473"/>
      <c r="AT33" s="117"/>
      <c r="AU33" s="117"/>
      <c r="AV33" s="117"/>
      <c r="AW33" s="117"/>
      <c r="AX33" s="117"/>
    </row>
    <row r="34" s="174" customFormat="true" ht="0.75" hidden="false" customHeight="true" outlineLevel="0" collapsed="false">
      <c r="A34" s="139"/>
      <c r="B34" s="139"/>
      <c r="C34" s="139"/>
      <c r="D34" s="139"/>
      <c r="E34" s="139"/>
      <c r="F34" s="139"/>
      <c r="G34" s="139"/>
      <c r="H34" s="139"/>
      <c r="I34" s="139"/>
      <c r="J34" s="139"/>
      <c r="K34" s="139"/>
      <c r="L34" s="417"/>
      <c r="M34" s="139"/>
      <c r="N34" s="139"/>
      <c r="O34" s="139"/>
      <c r="S34" s="42"/>
      <c r="T34" s="42"/>
      <c r="U34" s="127"/>
      <c r="V34" s="42"/>
      <c r="W34" s="42"/>
      <c r="X34" s="42"/>
      <c r="Y34" s="42"/>
      <c r="Z34" s="42"/>
      <c r="AA34" s="42"/>
      <c r="AB34" s="42"/>
      <c r="AC34" s="42"/>
      <c r="AD34" s="42"/>
      <c r="AE34" s="42"/>
      <c r="AF34" s="47" t="s">
        <v>441</v>
      </c>
      <c r="AG34" s="42"/>
      <c r="AH34" s="42"/>
      <c r="AI34" s="42"/>
      <c r="AJ34" s="42"/>
      <c r="AK34" s="42"/>
      <c r="AL34" s="42"/>
      <c r="AM34" s="42"/>
      <c r="AN34" s="42"/>
      <c r="AO34" s="42"/>
      <c r="AP34" s="42"/>
      <c r="AQ34" s="47" t="s">
        <v>441</v>
      </c>
      <c r="AT34" s="117"/>
      <c r="AU34" s="117"/>
      <c r="AV34" s="117"/>
      <c r="AW34" s="117"/>
      <c r="AX34" s="117"/>
    </row>
    <row r="35" customFormat="false" ht="14.25" hidden="false" customHeight="true" outlineLevel="0" collapsed="false">
      <c r="Q35" s="467"/>
      <c r="R35" s="467"/>
      <c r="S35" s="468"/>
      <c r="T35" s="79"/>
      <c r="U35" s="475"/>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row>
    <row r="36" customFormat="false" ht="14.25" hidden="false" customHeight="true" outlineLevel="0" collapsed="false">
      <c r="Q36" s="467"/>
      <c r="R36" s="467"/>
      <c r="S36" s="133" t="s">
        <v>316</v>
      </c>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t="s">
        <v>317</v>
      </c>
    </row>
    <row r="37" customFormat="false" ht="14.25" hidden="false" customHeight="true" outlineLevel="0" collapsed="false">
      <c r="Q37" s="467"/>
      <c r="R37" s="467"/>
      <c r="S37" s="419" t="s">
        <v>84</v>
      </c>
      <c r="T37" s="394" t="s">
        <v>442</v>
      </c>
      <c r="U37" s="478"/>
      <c r="V37" s="300" t="s">
        <v>443</v>
      </c>
      <c r="W37" s="300"/>
      <c r="X37" s="300"/>
      <c r="Y37" s="300"/>
      <c r="Z37" s="300"/>
      <c r="AA37" s="300"/>
      <c r="AB37" s="300"/>
      <c r="AC37" s="300"/>
      <c r="AD37" s="300"/>
      <c r="AE37" s="300"/>
      <c r="AF37" s="394" t="s">
        <v>444</v>
      </c>
      <c r="AG37" s="300" t="s">
        <v>443</v>
      </c>
      <c r="AH37" s="300"/>
      <c r="AI37" s="300"/>
      <c r="AJ37" s="300"/>
      <c r="AK37" s="300"/>
      <c r="AL37" s="300"/>
      <c r="AM37" s="300"/>
      <c r="AN37" s="300"/>
      <c r="AO37" s="300"/>
      <c r="AP37" s="300"/>
      <c r="AQ37" s="394" t="s">
        <v>445</v>
      </c>
      <c r="AR37" s="479" t="s">
        <v>446</v>
      </c>
      <c r="AS37" s="133"/>
    </row>
    <row r="38" s="42" customFormat="true" ht="18.75" hidden="false" customHeight="true" outlineLevel="0" collapsed="false">
      <c r="A38" s="45"/>
      <c r="B38" s="45"/>
      <c r="C38" s="45"/>
      <c r="D38" s="45"/>
      <c r="E38" s="45"/>
      <c r="F38" s="45"/>
      <c r="G38" s="45"/>
      <c r="H38" s="45"/>
      <c r="I38" s="45"/>
      <c r="J38" s="45"/>
      <c r="K38" s="45"/>
      <c r="L38" s="44"/>
      <c r="M38" s="51"/>
      <c r="N38" s="51"/>
      <c r="O38" s="51"/>
      <c r="P38" s="50"/>
      <c r="Q38" s="467"/>
      <c r="R38" s="467"/>
      <c r="S38" s="419"/>
      <c r="T38" s="394"/>
      <c r="U38" s="480"/>
      <c r="V38" s="145" t="s">
        <v>546</v>
      </c>
      <c r="W38" s="301" t="s">
        <v>547</v>
      </c>
      <c r="X38" s="301"/>
      <c r="Y38" s="301"/>
      <c r="Z38" s="301" t="s">
        <v>548</v>
      </c>
      <c r="AA38" s="301"/>
      <c r="AB38" s="301"/>
      <c r="AC38" s="133" t="s">
        <v>450</v>
      </c>
      <c r="AD38" s="133"/>
      <c r="AE38" s="133"/>
      <c r="AF38" s="394"/>
      <c r="AG38" s="145" t="s">
        <v>546</v>
      </c>
      <c r="AH38" s="301" t="s">
        <v>547</v>
      </c>
      <c r="AI38" s="301"/>
      <c r="AJ38" s="301"/>
      <c r="AK38" s="301" t="s">
        <v>548</v>
      </c>
      <c r="AL38" s="301"/>
      <c r="AM38" s="301"/>
      <c r="AN38" s="133" t="s">
        <v>450</v>
      </c>
      <c r="AO38" s="133"/>
      <c r="AP38" s="133"/>
      <c r="AQ38" s="394"/>
      <c r="AR38" s="479"/>
      <c r="AS38" s="133"/>
      <c r="AT38" s="47"/>
      <c r="AU38" s="47"/>
      <c r="AV38" s="47"/>
      <c r="AW38" s="47"/>
      <c r="AX38" s="47"/>
    </row>
    <row r="39" customFormat="false" ht="18.75" hidden="false" customHeight="true" outlineLevel="0" collapsed="false">
      <c r="Q39" s="467"/>
      <c r="R39" s="467"/>
      <c r="S39" s="419"/>
      <c r="T39" s="394"/>
      <c r="U39" s="480"/>
      <c r="V39" s="145"/>
      <c r="W39" s="301" t="s">
        <v>549</v>
      </c>
      <c r="X39" s="301" t="s">
        <v>550</v>
      </c>
      <c r="Y39" s="301"/>
      <c r="Z39" s="301" t="s">
        <v>551</v>
      </c>
      <c r="AA39" s="301" t="s">
        <v>550</v>
      </c>
      <c r="AB39" s="301"/>
      <c r="AC39" s="133"/>
      <c r="AD39" s="133"/>
      <c r="AE39" s="133"/>
      <c r="AF39" s="394"/>
      <c r="AG39" s="145"/>
      <c r="AH39" s="301" t="s">
        <v>549</v>
      </c>
      <c r="AI39" s="301" t="s">
        <v>550</v>
      </c>
      <c r="AJ39" s="301"/>
      <c r="AK39" s="301" t="s">
        <v>551</v>
      </c>
      <c r="AL39" s="301" t="s">
        <v>550</v>
      </c>
      <c r="AM39" s="301"/>
      <c r="AN39" s="133"/>
      <c r="AO39" s="133"/>
      <c r="AP39" s="133"/>
      <c r="AQ39" s="394"/>
      <c r="AR39" s="479"/>
      <c r="AS39" s="133"/>
    </row>
    <row r="40" customFormat="false" ht="59.25" hidden="false" customHeight="true" outlineLevel="0" collapsed="false">
      <c r="A40" s="139"/>
      <c r="B40" s="139" t="s">
        <v>142</v>
      </c>
      <c r="C40" s="139" t="s">
        <v>143</v>
      </c>
      <c r="D40" s="139" t="s">
        <v>144</v>
      </c>
      <c r="E40" s="417" t="s">
        <v>451</v>
      </c>
      <c r="F40" s="417" t="s">
        <v>452</v>
      </c>
      <c r="G40" s="417" t="s">
        <v>453</v>
      </c>
      <c r="H40" s="417"/>
      <c r="I40" s="417" t="s">
        <v>504</v>
      </c>
      <c r="J40" s="417" t="s">
        <v>456</v>
      </c>
      <c r="K40" s="417" t="s">
        <v>505</v>
      </c>
      <c r="L40" s="417" t="s">
        <v>432</v>
      </c>
      <c r="Q40" s="467"/>
      <c r="R40" s="467"/>
      <c r="S40" s="419"/>
      <c r="T40" s="394"/>
      <c r="U40" s="481"/>
      <c r="V40" s="145"/>
      <c r="W40" s="301"/>
      <c r="X40" s="301" t="s">
        <v>552</v>
      </c>
      <c r="Y40" s="301" t="s">
        <v>553</v>
      </c>
      <c r="Z40" s="301"/>
      <c r="AA40" s="301" t="s">
        <v>554</v>
      </c>
      <c r="AB40" s="301" t="s">
        <v>555</v>
      </c>
      <c r="AC40" s="184" t="s">
        <v>460</v>
      </c>
      <c r="AD40" s="184" t="s">
        <v>461</v>
      </c>
      <c r="AE40" s="184"/>
      <c r="AF40" s="394"/>
      <c r="AG40" s="145"/>
      <c r="AH40" s="301"/>
      <c r="AI40" s="301" t="s">
        <v>552</v>
      </c>
      <c r="AJ40" s="301" t="s">
        <v>553</v>
      </c>
      <c r="AK40" s="301"/>
      <c r="AL40" s="301" t="s">
        <v>554</v>
      </c>
      <c r="AM40" s="301" t="s">
        <v>555</v>
      </c>
      <c r="AN40" s="184" t="s">
        <v>460</v>
      </c>
      <c r="AO40" s="184" t="s">
        <v>461</v>
      </c>
      <c r="AP40" s="184"/>
      <c r="AQ40" s="394"/>
      <c r="AR40" s="479"/>
      <c r="AS40" s="133"/>
    </row>
    <row r="41" s="119" customFormat="true" ht="11.25" hidden="true" customHeight="true" outlineLevel="0" collapsed="false">
      <c r="A41" s="139"/>
      <c r="B41" s="139"/>
      <c r="C41" s="139"/>
      <c r="D41" s="139"/>
      <c r="E41" s="139"/>
      <c r="F41" s="139"/>
      <c r="G41" s="139"/>
      <c r="H41" s="139"/>
      <c r="I41" s="139"/>
      <c r="J41" s="139"/>
      <c r="K41" s="139"/>
      <c r="L41" s="417"/>
      <c r="M41" s="51"/>
      <c r="N41" s="51"/>
      <c r="O41" s="51"/>
      <c r="P41" s="482"/>
      <c r="Q41" s="483"/>
      <c r="R41" s="484" t="n">
        <v>1</v>
      </c>
      <c r="S41" s="485" t="s">
        <v>117</v>
      </c>
      <c r="T41" s="486" t="s">
        <v>99</v>
      </c>
      <c r="U41" s="487" t="str">
        <f aca="true">OFFSET(U41,0,-1)</f>
        <v>2</v>
      </c>
      <c r="V41" s="488" t="n">
        <f aca="true">OFFSET(V41,0,-1)+1</f>
        <v>3</v>
      </c>
      <c r="W41" s="488"/>
      <c r="X41" s="488"/>
      <c r="Y41" s="488"/>
      <c r="Z41" s="488"/>
      <c r="AA41" s="488"/>
      <c r="AB41" s="488" t="n">
        <f aca="true">OFFSET(AB41,0,-1)+1</f>
        <v>1</v>
      </c>
      <c r="AC41" s="488" t="n">
        <f aca="true">OFFSET(AC41,0,-1)+1</f>
        <v>2</v>
      </c>
      <c r="AD41" s="488" t="n">
        <f aca="true">OFFSET(AD41,0,-1)+1</f>
        <v>3</v>
      </c>
      <c r="AE41" s="488"/>
      <c r="AF41" s="488" t="n">
        <f aca="true">OFFSET(AF41,0,-2)+1</f>
        <v>4</v>
      </c>
      <c r="AG41" s="488" t="n">
        <f aca="true">OFFSET(AG41,0,-1)+1</f>
        <v>5</v>
      </c>
      <c r="AH41" s="488"/>
      <c r="AI41" s="488"/>
      <c r="AJ41" s="488"/>
      <c r="AK41" s="488"/>
      <c r="AL41" s="488"/>
      <c r="AM41" s="488" t="n">
        <f aca="true">OFFSET(AM41,0,-1)+1</f>
        <v>1</v>
      </c>
      <c r="AN41" s="488" t="n">
        <f aca="true">OFFSET(AN41,0,-1)+1</f>
        <v>2</v>
      </c>
      <c r="AO41" s="488" t="n">
        <f aca="true">OFFSET(AO41,0,-1)+1</f>
        <v>3</v>
      </c>
      <c r="AP41" s="488"/>
      <c r="AQ41" s="488" t="n">
        <f aca="true">OFFSET(AQ41,0,-2)+1</f>
        <v>4</v>
      </c>
      <c r="AR41" s="487" t="n">
        <f aca="true">OFFSET(AR41,0,-1)</f>
        <v>4</v>
      </c>
      <c r="AS41" s="488" t="n">
        <f aca="true">OFFSET(AS41,0,-1)+1</f>
        <v>5</v>
      </c>
      <c r="AT41" s="47"/>
      <c r="AU41" s="47"/>
      <c r="AV41" s="47"/>
      <c r="AW41" s="47"/>
      <c r="AX41" s="47"/>
    </row>
    <row r="42" customFormat="false" ht="23.25" hidden="false" customHeight="true" outlineLevel="0" collapsed="false">
      <c r="A42" s="415" t="s">
        <v>272</v>
      </c>
      <c r="B42" s="415"/>
      <c r="C42" s="415"/>
      <c r="D42" s="415"/>
      <c r="E42" s="416" t="n">
        <v>1</v>
      </c>
      <c r="F42" s="415"/>
      <c r="G42" s="415"/>
      <c r="H42" s="415"/>
      <c r="I42" s="415"/>
      <c r="J42" s="415"/>
      <c r="K42" s="415"/>
      <c r="L42" s="417"/>
      <c r="M42" s="40"/>
      <c r="N42" s="40"/>
      <c r="O42" s="40"/>
      <c r="Q42" s="131"/>
      <c r="R42" s="418"/>
      <c r="S42" s="419" t="n">
        <f aca="false">INDEX(PT_DIFFERENTIATION_NUM_NTAR,MATCH(A42,PT_DIFFERENTIATION_NTAR_ID,0))</f>
        <v>0</v>
      </c>
      <c r="T42" s="420" t="s">
        <v>130</v>
      </c>
      <c r="U42" s="421"/>
      <c r="V42" s="422"/>
      <c r="W42" s="422"/>
      <c r="X42" s="422"/>
      <c r="Y42" s="422"/>
      <c r="Z42" s="422"/>
      <c r="AA42" s="422"/>
      <c r="AB42" s="422"/>
      <c r="AC42" s="422"/>
      <c r="AD42" s="422"/>
      <c r="AE42" s="422"/>
      <c r="AF42" s="422"/>
      <c r="AG42" s="423" t="str">
        <f aca="false">INDEX(PT_DIFFERENTIATION_NTAR,MATCH(A42,PT_DIFFERENTIATION_NTAR_ID,0))</f>
        <v/>
      </c>
      <c r="AH42" s="423"/>
      <c r="AI42" s="423"/>
      <c r="AJ42" s="423"/>
      <c r="AK42" s="423"/>
      <c r="AL42" s="423"/>
      <c r="AM42" s="423"/>
      <c r="AN42" s="423"/>
      <c r="AO42" s="423"/>
      <c r="AP42" s="423"/>
      <c r="AQ42" s="423"/>
      <c r="AR42" s="423"/>
      <c r="AS42" s="42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117"/>
      <c r="AV42" s="117" t="str">
        <f aca="false">IF(T42="","",T42)</f>
        <v>Наименование тарифа</v>
      </c>
      <c r="AW42" s="117"/>
      <c r="AX42" s="117"/>
    </row>
    <row r="43" customFormat="false" ht="23.25" hidden="false" customHeight="true" outlineLevel="0" collapsed="false">
      <c r="A43" s="415" t="s">
        <v>272</v>
      </c>
      <c r="B43" s="415" t="s">
        <v>273</v>
      </c>
      <c r="C43" s="415"/>
      <c r="D43" s="415"/>
      <c r="E43" s="416"/>
      <c r="F43" s="416" t="n">
        <v>1</v>
      </c>
      <c r="G43" s="415"/>
      <c r="H43" s="415"/>
      <c r="I43" s="415"/>
      <c r="J43" s="415"/>
      <c r="K43" s="415"/>
      <c r="L43" s="417"/>
      <c r="M43" s="40"/>
      <c r="N43" s="40"/>
      <c r="O43" s="40"/>
      <c r="P43" s="43"/>
      <c r="Q43" s="425"/>
      <c r="R43" s="426"/>
      <c r="S43" s="419" t="str">
        <f aca="false">INDEX(PT_DIFFERENTIATION_NUM_TER,MATCH(B43,PT_DIFFERENTIATION_TER_ID,0))</f>
        <v>.</v>
      </c>
      <c r="T43" s="427" t="s">
        <v>413</v>
      </c>
      <c r="U43" s="421"/>
      <c r="V43" s="422"/>
      <c r="W43" s="422"/>
      <c r="X43" s="422"/>
      <c r="Y43" s="422"/>
      <c r="Z43" s="422"/>
      <c r="AA43" s="422"/>
      <c r="AB43" s="422"/>
      <c r="AC43" s="422"/>
      <c r="AD43" s="422"/>
      <c r="AE43" s="422"/>
      <c r="AF43" s="422"/>
      <c r="AG43" s="423" t="str">
        <f aca="false">INDEX(PT_DIFFERENTIATION_TER,MATCH(B43,PT_DIFFERENTIATION_TER_ID,0))</f>
        <v/>
      </c>
      <c r="AH43" s="423"/>
      <c r="AI43" s="423"/>
      <c r="AJ43" s="423"/>
      <c r="AK43" s="423"/>
      <c r="AL43" s="423"/>
      <c r="AM43" s="423"/>
      <c r="AN43" s="423"/>
      <c r="AO43" s="423"/>
      <c r="AP43" s="423"/>
      <c r="AQ43" s="423"/>
      <c r="AR43" s="423"/>
      <c r="AS43" s="424" t="s">
        <v>414</v>
      </c>
      <c r="AU43" s="117"/>
      <c r="AV43" s="117" t="str">
        <f aca="false">IF(T43="","",T43)</f>
        <v>Территория действия тарифа</v>
      </c>
      <c r="AW43" s="117"/>
      <c r="AX43" s="117"/>
    </row>
    <row r="44" customFormat="false" ht="23.25" hidden="false" customHeight="true" outlineLevel="0" collapsed="false">
      <c r="A44" s="415" t="s">
        <v>272</v>
      </c>
      <c r="B44" s="415" t="s">
        <v>273</v>
      </c>
      <c r="C44" s="415" t="s">
        <v>274</v>
      </c>
      <c r="D44" s="415"/>
      <c r="E44" s="416"/>
      <c r="F44" s="416"/>
      <c r="G44" s="416" t="n">
        <v>1</v>
      </c>
      <c r="H44" s="415"/>
      <c r="I44" s="415"/>
      <c r="J44" s="415"/>
      <c r="K44" s="415"/>
      <c r="L44" s="417"/>
      <c r="M44" s="40"/>
      <c r="N44" s="40"/>
      <c r="O44" s="40"/>
      <c r="P44" s="428"/>
      <c r="Q44" s="425"/>
      <c r="R44" s="426"/>
      <c r="S44" s="419" t="str">
        <f aca="false">INDEX(PT_DIFFERENTIATION_NUM_CS,MATCH(C44,PT_DIFFERENTIATION_CS_ID,0))</f>
        <v>..</v>
      </c>
      <c r="T44" s="429" t="s">
        <v>544</v>
      </c>
      <c r="U44" s="421"/>
      <c r="V44" s="422"/>
      <c r="W44" s="422"/>
      <c r="X44" s="422"/>
      <c r="Y44" s="422"/>
      <c r="Z44" s="422"/>
      <c r="AA44" s="422"/>
      <c r="AB44" s="422"/>
      <c r="AC44" s="422"/>
      <c r="AD44" s="422"/>
      <c r="AE44" s="422"/>
      <c r="AF44" s="422"/>
      <c r="AG44" s="423" t="str">
        <f aca="false">INDEX(PT_DIFFERENTIATION_CS,MATCH(C44,PT_DIFFERENTIATION_CS_ID,0))</f>
        <v/>
      </c>
      <c r="AH44" s="423"/>
      <c r="AI44" s="423"/>
      <c r="AJ44" s="423"/>
      <c r="AK44" s="423"/>
      <c r="AL44" s="423"/>
      <c r="AM44" s="423"/>
      <c r="AN44" s="423"/>
      <c r="AO44" s="423"/>
      <c r="AP44" s="423"/>
      <c r="AQ44" s="423"/>
      <c r="AR44" s="423"/>
      <c r="AS44" s="424" t="s">
        <v>545</v>
      </c>
      <c r="AU44" s="117"/>
      <c r="AV44" s="117" t="str">
        <f aca="false">IF(T44="","",T44)</f>
        <v>Наименование централизованной системы горячего водоснабжения</v>
      </c>
      <c r="AW44" s="117"/>
      <c r="AX44" s="117"/>
    </row>
    <row r="45" customFormat="false" ht="23.25" hidden="false" customHeight="true" outlineLevel="0" collapsed="false">
      <c r="A45" s="415" t="s">
        <v>272</v>
      </c>
      <c r="B45" s="415" t="s">
        <v>273</v>
      </c>
      <c r="C45" s="415" t="s">
        <v>274</v>
      </c>
      <c r="D45" s="415" t="s">
        <v>564</v>
      </c>
      <c r="E45" s="416"/>
      <c r="F45" s="416"/>
      <c r="G45" s="416"/>
      <c r="H45" s="560"/>
      <c r="I45" s="431" t="str">
        <f aca="false">S44&amp;".1"</f>
        <v>...1</v>
      </c>
      <c r="J45" s="415"/>
      <c r="K45" s="415"/>
      <c r="L45" s="417"/>
      <c r="P45" s="120" t="n">
        <v>1</v>
      </c>
      <c r="Q45" s="120"/>
      <c r="R45" s="432"/>
      <c r="S45" s="419" t="str">
        <f aca="false">$I45</f>
        <v>...1</v>
      </c>
      <c r="T45" s="433" t="s">
        <v>497</v>
      </c>
      <c r="U45" s="421"/>
      <c r="V45" s="561"/>
      <c r="W45" s="561"/>
      <c r="X45" s="561"/>
      <c r="Y45" s="561"/>
      <c r="Z45" s="561"/>
      <c r="AA45" s="561"/>
      <c r="AB45" s="561"/>
      <c r="AC45" s="561"/>
      <c r="AD45" s="561"/>
      <c r="AE45" s="561"/>
      <c r="AF45" s="561"/>
      <c r="AG45" s="245"/>
      <c r="AH45" s="245"/>
      <c r="AI45" s="245"/>
      <c r="AJ45" s="245"/>
      <c r="AK45" s="245"/>
      <c r="AL45" s="245"/>
      <c r="AM45" s="245"/>
      <c r="AN45" s="245"/>
      <c r="AO45" s="245"/>
      <c r="AP45" s="245"/>
      <c r="AQ45" s="245"/>
      <c r="AR45" s="245"/>
      <c r="AS45" s="424" t="s">
        <v>498</v>
      </c>
      <c r="AU45" s="117"/>
      <c r="AV45" s="117" t="str">
        <f aca="false">IF(T45="","",T45)</f>
        <v>Наименование признака дифференциации</v>
      </c>
      <c r="AW45" s="117"/>
      <c r="AX45" s="117"/>
    </row>
    <row r="46" customFormat="false" ht="23.25" hidden="false" customHeight="true" outlineLevel="0" collapsed="false">
      <c r="A46" s="415" t="s">
        <v>272</v>
      </c>
      <c r="B46" s="415" t="s">
        <v>273</v>
      </c>
      <c r="C46" s="415" t="s">
        <v>274</v>
      </c>
      <c r="D46" s="415" t="s">
        <v>564</v>
      </c>
      <c r="E46" s="416"/>
      <c r="F46" s="416"/>
      <c r="G46" s="416"/>
      <c r="H46" s="416"/>
      <c r="I46" s="431"/>
      <c r="J46" s="431" t="str">
        <f aca="false">I45&amp;".1"</f>
        <v>...1.1</v>
      </c>
      <c r="K46" s="415"/>
      <c r="L46" s="417" t="s">
        <v>422</v>
      </c>
      <c r="P46" s="120"/>
      <c r="Q46" s="120" t="n">
        <v>1</v>
      </c>
      <c r="R46" s="435"/>
      <c r="S46" s="419" t="str">
        <f aca="false">$J46</f>
        <v>...1.1</v>
      </c>
      <c r="T46" s="436" t="s">
        <v>423</v>
      </c>
      <c r="U46" s="421"/>
      <c r="V46" s="434"/>
      <c r="W46" s="434"/>
      <c r="X46" s="434"/>
      <c r="Y46" s="434"/>
      <c r="Z46" s="434"/>
      <c r="AA46" s="434"/>
      <c r="AB46" s="434"/>
      <c r="AC46" s="434"/>
      <c r="AD46" s="434"/>
      <c r="AE46" s="434"/>
      <c r="AF46" s="434"/>
      <c r="AG46" s="434"/>
      <c r="AH46" s="434"/>
      <c r="AI46" s="434"/>
      <c r="AJ46" s="434"/>
      <c r="AK46" s="434"/>
      <c r="AL46" s="434"/>
      <c r="AM46" s="434"/>
      <c r="AN46" s="434"/>
      <c r="AO46" s="434"/>
      <c r="AP46" s="434"/>
      <c r="AQ46" s="434"/>
      <c r="AR46" s="434"/>
      <c r="AS46" s="514" t="s">
        <v>499</v>
      </c>
      <c r="AU46" s="117"/>
      <c r="AV46" s="117" t="str">
        <f aca="false">IF(T46="","",T46)</f>
        <v>Группа потребителей</v>
      </c>
      <c r="AW46" s="117"/>
      <c r="AX46" s="117"/>
    </row>
    <row r="47" customFormat="false" ht="23.25" hidden="false" customHeight="true" outlineLevel="0" collapsed="false">
      <c r="A47" s="415" t="s">
        <v>272</v>
      </c>
      <c r="B47" s="415" t="s">
        <v>273</v>
      </c>
      <c r="C47" s="415" t="s">
        <v>274</v>
      </c>
      <c r="D47" s="415" t="s">
        <v>564</v>
      </c>
      <c r="E47" s="416"/>
      <c r="F47" s="416"/>
      <c r="G47" s="416"/>
      <c r="H47" s="416"/>
      <c r="I47" s="431"/>
      <c r="J47" s="431"/>
      <c r="K47" s="431" t="str">
        <f aca="false">J46&amp;".1"</f>
        <v>...1.1.1</v>
      </c>
      <c r="L47" s="417"/>
      <c r="P47" s="120"/>
      <c r="Q47" s="120"/>
      <c r="R47" s="435" t="n">
        <v>1</v>
      </c>
      <c r="S47" s="419" t="str">
        <f aca="false">$K47</f>
        <v>...1.1.1</v>
      </c>
      <c r="T47" s="562"/>
      <c r="U47" s="421"/>
      <c r="V47" s="461"/>
      <c r="W47" s="461"/>
      <c r="X47" s="461"/>
      <c r="Y47" s="461"/>
      <c r="Z47" s="461"/>
      <c r="AA47" s="461"/>
      <c r="AB47" s="462"/>
      <c r="AC47" s="463"/>
      <c r="AD47" s="464" t="s">
        <v>63</v>
      </c>
      <c r="AE47" s="463"/>
      <c r="AF47" s="464" t="s">
        <v>63</v>
      </c>
      <c r="AG47" s="438"/>
      <c r="AH47" s="438"/>
      <c r="AI47" s="438"/>
      <c r="AJ47" s="438"/>
      <c r="AK47" s="438"/>
      <c r="AL47" s="438"/>
      <c r="AM47" s="440"/>
      <c r="AN47" s="441"/>
      <c r="AO47" s="203" t="s">
        <v>63</v>
      </c>
      <c r="AP47" s="441"/>
      <c r="AQ47" s="203" t="s">
        <v>53</v>
      </c>
      <c r="AR47" s="563"/>
      <c r="AS47" s="56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7" t="e">
        <f aca="false">strcheckdate(V48:AR48)</f>
        <v>#NAME?</v>
      </c>
      <c r="AU47" s="117"/>
      <c r="AV47" s="117" t="str">
        <f aca="false">IF(T47="","",T47)</f>
        <v/>
      </c>
      <c r="AW47" s="117"/>
      <c r="AX47" s="117"/>
    </row>
    <row r="48" customFormat="false" ht="12.8" hidden="false" customHeight="false" outlineLevel="0" collapsed="false">
      <c r="A48" s="415" t="s">
        <v>272</v>
      </c>
      <c r="B48" s="415" t="s">
        <v>273</v>
      </c>
      <c r="C48" s="415" t="s">
        <v>274</v>
      </c>
      <c r="D48" s="415" t="s">
        <v>564</v>
      </c>
      <c r="E48" s="416"/>
      <c r="F48" s="416"/>
      <c r="G48" s="416"/>
      <c r="H48" s="416"/>
      <c r="I48" s="431"/>
      <c r="J48" s="431"/>
      <c r="K48" s="431"/>
      <c r="L48" s="417"/>
      <c r="P48" s="120"/>
      <c r="Q48" s="120"/>
      <c r="R48" s="435"/>
      <c r="S48" s="396"/>
      <c r="T48" s="421"/>
      <c r="U48" s="421"/>
      <c r="V48" s="461"/>
      <c r="W48" s="461"/>
      <c r="X48" s="461"/>
      <c r="Y48" s="461"/>
      <c r="Z48" s="461"/>
      <c r="AA48" s="461"/>
      <c r="AB48" s="443" t="str">
        <f aca="false">AC47&amp;"-"&amp;AE47</f>
        <v>-</v>
      </c>
      <c r="AC48" s="463"/>
      <c r="AD48" s="463"/>
      <c r="AE48" s="463"/>
      <c r="AF48" s="463"/>
      <c r="AG48" s="439"/>
      <c r="AH48" s="439"/>
      <c r="AI48" s="439"/>
      <c r="AJ48" s="439"/>
      <c r="AK48" s="439"/>
      <c r="AL48" s="439"/>
      <c r="AM48" s="443" t="str">
        <f aca="false">AN47&amp;"-"&amp;AP47</f>
        <v>-</v>
      </c>
      <c r="AN48" s="441"/>
      <c r="AO48" s="203"/>
      <c r="AP48" s="441"/>
      <c r="AQ48" s="203"/>
      <c r="AR48" s="565"/>
      <c r="AS48" s="564"/>
      <c r="AU48" s="117"/>
      <c r="AV48" s="117" t="str">
        <f aca="false">IF(T48="","",T48)</f>
        <v/>
      </c>
      <c r="AW48" s="117"/>
      <c r="AX48" s="117"/>
    </row>
    <row r="49" customFormat="false" ht="21" hidden="false" customHeight="true" outlineLevel="0" collapsed="false">
      <c r="A49" s="415" t="s">
        <v>272</v>
      </c>
      <c r="B49" s="415" t="s">
        <v>273</v>
      </c>
      <c r="C49" s="415" t="s">
        <v>274</v>
      </c>
      <c r="D49" s="415" t="s">
        <v>564</v>
      </c>
      <c r="E49" s="416"/>
      <c r="F49" s="416"/>
      <c r="G49" s="416"/>
      <c r="H49" s="416"/>
      <c r="I49" s="431"/>
      <c r="J49" s="431"/>
      <c r="K49" s="415"/>
      <c r="L49" s="417"/>
      <c r="P49" s="120"/>
      <c r="Q49" s="120"/>
      <c r="R49" s="432"/>
      <c r="S49" s="444"/>
      <c r="T49" s="447" t="s">
        <v>500</v>
      </c>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424" t="s">
        <v>501</v>
      </c>
      <c r="AU49" s="117"/>
      <c r="AV49" s="117" t="str">
        <f aca="false">IF(T49="","",T49)</f>
        <v>Добавить значение признака дифференциации</v>
      </c>
      <c r="AW49" s="117"/>
      <c r="AX49" s="117"/>
    </row>
    <row r="50" customFormat="false" ht="21" hidden="false" customHeight="true" outlineLevel="0" collapsed="false">
      <c r="A50" s="415" t="s">
        <v>272</v>
      </c>
      <c r="B50" s="415" t="s">
        <v>273</v>
      </c>
      <c r="C50" s="415" t="s">
        <v>274</v>
      </c>
      <c r="D50" s="415" t="s">
        <v>564</v>
      </c>
      <c r="E50" s="416"/>
      <c r="F50" s="416"/>
      <c r="G50" s="416"/>
      <c r="H50" s="416"/>
      <c r="I50" s="431"/>
      <c r="J50" s="415"/>
      <c r="K50" s="415"/>
      <c r="L50" s="417"/>
      <c r="P50" s="120"/>
      <c r="Q50" s="120"/>
      <c r="R50" s="432"/>
      <c r="S50" s="444"/>
      <c r="T50" s="451" t="s">
        <v>428</v>
      </c>
      <c r="U50" s="193"/>
      <c r="V50" s="193"/>
      <c r="W50" s="193"/>
      <c r="X50" s="193"/>
      <c r="Y50" s="193"/>
      <c r="Z50" s="193"/>
      <c r="AA50" s="193"/>
      <c r="AB50" s="193"/>
      <c r="AC50" s="193"/>
      <c r="AD50" s="193"/>
      <c r="AE50" s="193"/>
      <c r="AF50" s="448"/>
      <c r="AG50" s="193"/>
      <c r="AH50" s="193"/>
      <c r="AI50" s="193"/>
      <c r="AJ50" s="193"/>
      <c r="AK50" s="193"/>
      <c r="AL50" s="193"/>
      <c r="AM50" s="193"/>
      <c r="AN50" s="193"/>
      <c r="AO50" s="193"/>
      <c r="AP50" s="193"/>
      <c r="AQ50" s="448"/>
      <c r="AR50" s="193"/>
      <c r="AS50" s="566"/>
      <c r="AU50" s="117"/>
      <c r="AV50" s="117" t="str">
        <f aca="false">IF(T50="","",T50)</f>
        <v>Добавить группу потребителей</v>
      </c>
      <c r="AW50" s="117"/>
      <c r="AX50" s="117"/>
    </row>
    <row r="51" customFormat="false" ht="21" hidden="false" customHeight="true" outlineLevel="0" collapsed="false">
      <c r="A51" s="415" t="s">
        <v>272</v>
      </c>
      <c r="B51" s="415" t="s">
        <v>273</v>
      </c>
      <c r="C51" s="415" t="s">
        <v>274</v>
      </c>
      <c r="D51" s="415" t="s">
        <v>564</v>
      </c>
      <c r="E51" s="416"/>
      <c r="F51" s="416"/>
      <c r="G51" s="416"/>
      <c r="H51" s="560"/>
      <c r="I51" s="415"/>
      <c r="J51" s="415"/>
      <c r="K51" s="415"/>
      <c r="L51" s="417"/>
      <c r="M51" s="40"/>
      <c r="N51" s="40"/>
      <c r="O51" s="45"/>
      <c r="P51" s="131"/>
      <c r="Q51" s="450"/>
      <c r="R51" s="418"/>
      <c r="S51" s="444"/>
      <c r="T51" s="567" t="s">
        <v>502</v>
      </c>
      <c r="U51" s="193"/>
      <c r="V51" s="193"/>
      <c r="W51" s="193"/>
      <c r="X51" s="193"/>
      <c r="Y51" s="193"/>
      <c r="Z51" s="193"/>
      <c r="AA51" s="193"/>
      <c r="AB51" s="193"/>
      <c r="AC51" s="193"/>
      <c r="AD51" s="193"/>
      <c r="AE51" s="193"/>
      <c r="AF51" s="448"/>
      <c r="AG51" s="193"/>
      <c r="AH51" s="193"/>
      <c r="AI51" s="193"/>
      <c r="AJ51" s="193"/>
      <c r="AK51" s="193"/>
      <c r="AL51" s="193"/>
      <c r="AM51" s="193"/>
      <c r="AN51" s="193"/>
      <c r="AO51" s="193"/>
      <c r="AP51" s="193"/>
      <c r="AQ51" s="448"/>
      <c r="AR51" s="193"/>
      <c r="AS51" s="449"/>
      <c r="AU51" s="117"/>
      <c r="AV51" s="117" t="str">
        <f aca="false">IF(T51="","",T51)</f>
        <v>Добавить наименование признака дифференциации</v>
      </c>
      <c r="AW51" s="117"/>
      <c r="AX51" s="117"/>
    </row>
    <row r="52" s="47" customFormat="true" ht="12.8" hidden="false" customHeight="false" outlineLevel="0" collapsed="false">
      <c r="A52" s="121" t="s">
        <v>272</v>
      </c>
      <c r="B52" s="121" t="s">
        <v>273</v>
      </c>
      <c r="C52" s="121"/>
      <c r="D52" s="121"/>
      <c r="E52" s="416"/>
      <c r="F52" s="416"/>
      <c r="G52" s="121"/>
      <c r="H52" s="121"/>
      <c r="I52" s="121"/>
      <c r="J52" s="121"/>
      <c r="K52" s="121"/>
      <c r="L52" s="191"/>
      <c r="M52" s="456"/>
      <c r="N52" s="456"/>
      <c r="P52" s="155"/>
      <c r="Q52" s="452"/>
      <c r="R52" s="155"/>
      <c r="S52" s="457"/>
      <c r="T52" s="460" t="s">
        <v>261</v>
      </c>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U52" s="117"/>
      <c r="AV52" s="117" t="str">
        <f aca="false">IF(T52="","",T52)</f>
        <v>Добавить централизованную систему для дифференциации</v>
      </c>
      <c r="AW52" s="117"/>
      <c r="AX52" s="117"/>
    </row>
    <row r="53" s="47" customFormat="true" ht="12.8" hidden="false" customHeight="false" outlineLevel="0" collapsed="false">
      <c r="A53" s="121" t="s">
        <v>272</v>
      </c>
      <c r="B53" s="121"/>
      <c r="C53" s="121"/>
      <c r="D53" s="121"/>
      <c r="E53" s="416"/>
      <c r="F53" s="121"/>
      <c r="G53" s="121"/>
      <c r="H53" s="121"/>
      <c r="I53" s="121"/>
      <c r="J53" s="121"/>
      <c r="K53" s="121"/>
      <c r="L53" s="191"/>
      <c r="M53" s="456"/>
      <c r="N53" s="456"/>
      <c r="P53" s="155"/>
      <c r="Q53" s="452"/>
      <c r="R53" s="155"/>
      <c r="S53" s="457"/>
      <c r="T53" s="460" t="s">
        <v>268</v>
      </c>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U53" s="117"/>
      <c r="AV53" s="117" t="str">
        <f aca="false">IF(T53="","",T53)</f>
        <v>Добавить территорию для дифференциации</v>
      </c>
      <c r="AW53" s="117"/>
      <c r="AX53" s="117"/>
    </row>
    <row r="54" s="47" customFormat="true" ht="12.8" hidden="false" customHeight="false" outlineLevel="0" collapsed="false">
      <c r="A54" s="121"/>
      <c r="B54" s="121"/>
      <c r="C54" s="121"/>
      <c r="D54" s="121"/>
      <c r="E54" s="121"/>
      <c r="F54" s="121"/>
      <c r="G54" s="121"/>
      <c r="H54" s="121"/>
      <c r="I54" s="121"/>
      <c r="J54" s="121"/>
      <c r="K54" s="121"/>
      <c r="L54" s="191"/>
      <c r="M54" s="456"/>
      <c r="N54" s="456"/>
      <c r="P54" s="155"/>
      <c r="Q54" s="452"/>
      <c r="R54" s="155"/>
      <c r="S54" s="457"/>
      <c r="T54" s="460" t="s">
        <v>269</v>
      </c>
      <c r="U54" s="459"/>
      <c r="V54" s="459"/>
      <c r="W54" s="459"/>
      <c r="X54" s="459"/>
      <c r="Y54" s="459"/>
      <c r="Z54" s="459"/>
      <c r="AA54" s="459"/>
      <c r="AB54" s="459"/>
      <c r="AC54" s="459"/>
      <c r="AD54" s="459"/>
      <c r="AE54" s="459"/>
      <c r="AF54" s="459"/>
      <c r="AG54" s="459"/>
      <c r="AH54" s="459"/>
      <c r="AI54" s="459"/>
      <c r="AJ54" s="459"/>
      <c r="AK54" s="459"/>
      <c r="AL54" s="459"/>
      <c r="AM54" s="459"/>
      <c r="AN54" s="459"/>
      <c r="AO54" s="459"/>
      <c r="AP54" s="459"/>
      <c r="AQ54" s="459"/>
      <c r="AR54" s="459"/>
      <c r="AS54" s="459"/>
      <c r="AU54" s="117"/>
      <c r="AV54" s="117" t="str">
        <f aca="false">IF(T54="","",T54)</f>
        <v>Добавить наименование тарифа</v>
      </c>
      <c r="AW54" s="117"/>
      <c r="AX54" s="117"/>
    </row>
    <row r="55" customFormat="false" ht="11.25" hidden="false" customHeight="true" outlineLevel="0" collapsed="false">
      <c r="M55" s="45"/>
      <c r="N55" s="45"/>
      <c r="O55" s="45"/>
      <c r="P55" s="42"/>
      <c r="Q55" s="42"/>
      <c r="R55" s="42"/>
      <c r="S55" s="42"/>
      <c r="AT55" s="42"/>
      <c r="AU55" s="42"/>
      <c r="AV55" s="42"/>
      <c r="AW55" s="42"/>
      <c r="AX55" s="42"/>
    </row>
    <row r="56" customFormat="false" ht="14.25" hidden="false" customHeight="true" outlineLevel="0" collapsed="false">
      <c r="O56" s="45"/>
      <c r="S56" s="412"/>
      <c r="T56" s="491"/>
      <c r="U56" s="491"/>
      <c r="V56" s="491"/>
      <c r="W56" s="491"/>
      <c r="X56" s="491"/>
      <c r="Y56" s="491"/>
      <c r="Z56" s="491"/>
      <c r="AA56" s="491"/>
      <c r="AB56" s="491"/>
      <c r="AC56" s="491"/>
      <c r="AD56" s="491"/>
      <c r="AE56" s="491"/>
      <c r="AF56" s="491"/>
      <c r="AG56" s="491"/>
      <c r="AH56" s="491"/>
      <c r="AI56" s="491"/>
      <c r="AJ56" s="491"/>
      <c r="AK56" s="491"/>
      <c r="AL56" s="491"/>
      <c r="AM56" s="491"/>
      <c r="AN56" s="491"/>
      <c r="AO56" s="491"/>
      <c r="AP56" s="491"/>
      <c r="AQ56" s="491"/>
      <c r="AR56" s="491"/>
      <c r="AS56" s="491"/>
    </row>
    <row r="57" customFormat="false" ht="14.25" hidden="false" customHeight="true" outlineLevel="0" collapsed="false">
      <c r="O57" s="45"/>
    </row>
    <row r="58" customFormat="false" ht="14.25" hidden="false" customHeight="true" outlineLevel="0" collapsed="false">
      <c r="O58" s="45"/>
      <c r="S58" s="412"/>
      <c r="T58" s="491"/>
      <c r="U58" s="491"/>
      <c r="V58" s="491"/>
      <c r="W58" s="491"/>
      <c r="X58" s="491"/>
      <c r="Y58" s="491"/>
      <c r="Z58" s="491"/>
      <c r="AA58" s="491"/>
      <c r="AB58" s="491"/>
      <c r="AC58" s="491"/>
      <c r="AD58" s="491"/>
      <c r="AE58" s="491"/>
      <c r="AF58" s="491"/>
      <c r="AG58" s="491"/>
      <c r="AH58" s="491"/>
      <c r="AI58" s="491"/>
      <c r="AJ58" s="491"/>
      <c r="AK58" s="491"/>
      <c r="AL58" s="491"/>
      <c r="AM58" s="491"/>
      <c r="AN58" s="491"/>
      <c r="AO58" s="491"/>
      <c r="AP58" s="491"/>
      <c r="AQ58" s="491"/>
      <c r="AR58" s="491"/>
      <c r="AS58" s="491"/>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 allowBlank="true" errorStyle="stop" operator="between" promptTitle="checkPeriodRange" showDropDown="false" showErrorMessage="false" showInputMessage="false" sqref="AB8 AM8 AM16 AB48 AM48"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true" outlineLevel="0" max="16" min="16" style="51" width="3.71"/>
    <col collapsed="false" customWidth="true" hidden="true" outlineLevel="0" max="17" min="17" style="466" width="3.71"/>
    <col collapsed="false" customWidth="true" hidden="false" outlineLevel="0" max="18" min="18" style="414" width="3.71"/>
    <col collapsed="false" customWidth="true" hidden="false" outlineLevel="0" max="19" min="19" style="75" width="12.71"/>
    <col collapsed="false" customWidth="true" hidden="false" outlineLevel="0" max="20" min="20" style="42" width="32"/>
    <col collapsed="false" customWidth="true" hidden="false" outlineLevel="0" max="21" min="21" style="42" width="0.14"/>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7" width="10.57"/>
    <col collapsed="false" customWidth="true" hidden="false" outlineLevel="0" max="58" min="58" style="47" width="11.14"/>
    <col collapsed="false" customWidth="false" hidden="false" outlineLevel="0" max="60" min="59" style="47" width="10.57"/>
  </cols>
  <sheetData>
    <row r="1" customFormat="false" ht="14.25" hidden="true" customHeight="true" outlineLevel="0" collapsed="false"/>
    <row r="2" customFormat="false" ht="21" hidden="true" customHeight="true" outlineLevel="0" collapsed="false">
      <c r="A2" s="415"/>
      <c r="B2" s="415"/>
      <c r="C2" s="415"/>
      <c r="D2" s="415"/>
      <c r="E2" s="416" t="n">
        <v>1</v>
      </c>
      <c r="F2" s="415"/>
      <c r="G2" s="415"/>
      <c r="H2" s="415"/>
      <c r="I2" s="415"/>
      <c r="J2" s="415"/>
      <c r="K2" s="415"/>
      <c r="L2" s="417"/>
      <c r="M2" s="40"/>
      <c r="N2" s="40"/>
      <c r="O2" s="40"/>
      <c r="Q2" s="54"/>
      <c r="R2" s="418"/>
      <c r="S2" s="419" t="e">
        <f aca="false">INDEX(PT_DIFFERENTIATION_NUM_NTAR,MATCH(A2,PT_DIFFERENTIATION_NTAR_ID,0))</f>
        <v>#N/A</v>
      </c>
      <c r="T2" s="420" t="s">
        <v>130</v>
      </c>
      <c r="U2" s="421"/>
      <c r="V2" s="523"/>
      <c r="W2" s="523"/>
      <c r="X2" s="523"/>
      <c r="Y2" s="523"/>
      <c r="Z2" s="523"/>
      <c r="AA2" s="523"/>
      <c r="AB2" s="523"/>
      <c r="AC2" s="523"/>
      <c r="AD2" s="423" t="e">
        <f aca="false">INDEX(PT_DIFFERENTIATION_NTAR,MATCH(A2,PT_DIFFERENTIATION_NTAR_ID,0))</f>
        <v>#N/A</v>
      </c>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7"/>
      <c r="BF2" s="117" t="str">
        <f aca="false">IF(T2="","",T2)</f>
        <v>Наименование тарифа</v>
      </c>
      <c r="BG2" s="117"/>
      <c r="BH2" s="117"/>
    </row>
    <row r="3" customFormat="false" ht="21" hidden="true" customHeight="true" outlineLevel="0" collapsed="false">
      <c r="A3" s="415"/>
      <c r="B3" s="415"/>
      <c r="C3" s="415"/>
      <c r="D3" s="415"/>
      <c r="E3" s="416"/>
      <c r="F3" s="416" t="n">
        <v>1</v>
      </c>
      <c r="G3" s="415"/>
      <c r="H3" s="415"/>
      <c r="I3" s="415"/>
      <c r="J3" s="415"/>
      <c r="K3" s="415"/>
      <c r="L3" s="417"/>
      <c r="M3" s="40"/>
      <c r="N3" s="40"/>
      <c r="O3" s="40"/>
      <c r="P3" s="44"/>
      <c r="Q3" s="524"/>
      <c r="R3" s="426"/>
      <c r="S3" s="419" t="e">
        <f aca="false">INDEX(PT_DIFFERENTIATION_NUM_TER,MATCH(B3,PT_DIFFERENTIATION_TER_ID,0))</f>
        <v>#N/A</v>
      </c>
      <c r="T3" s="427" t="s">
        <v>413</v>
      </c>
      <c r="U3" s="421"/>
      <c r="V3" s="523"/>
      <c r="W3" s="523"/>
      <c r="X3" s="523"/>
      <c r="Y3" s="523"/>
      <c r="Z3" s="523"/>
      <c r="AA3" s="523"/>
      <c r="AB3" s="523"/>
      <c r="AC3" s="523"/>
      <c r="AD3" s="423" t="e">
        <f aca="false">INDEX(PT_DIFFERENTIATION_TER,MATCH(B3,PT_DIFFERENTIATION_TER_ID,0))</f>
        <v>#N/A</v>
      </c>
      <c r="AE3" s="423"/>
      <c r="AF3" s="423"/>
      <c r="AG3" s="423"/>
      <c r="AH3" s="423"/>
      <c r="AI3" s="423"/>
      <c r="AJ3" s="423"/>
      <c r="AK3" s="423"/>
      <c r="AL3" s="423"/>
      <c r="AM3" s="423"/>
      <c r="AN3" s="423"/>
      <c r="AO3" s="423"/>
      <c r="AP3" s="423"/>
      <c r="AQ3" s="423"/>
      <c r="AR3" s="423"/>
      <c r="AS3" s="423"/>
      <c r="AT3" s="423"/>
      <c r="AU3" s="423"/>
      <c r="AV3" s="423"/>
      <c r="AW3" s="423"/>
      <c r="AX3" s="423"/>
      <c r="AY3" s="423"/>
      <c r="AZ3" s="423"/>
      <c r="BA3" s="423"/>
      <c r="BB3" s="423"/>
      <c r="BC3" s="424" t="s">
        <v>414</v>
      </c>
      <c r="BE3" s="117"/>
      <c r="BF3" s="117" t="str">
        <f aca="false">IF(T3="","",T3)</f>
        <v>Территория действия тарифа</v>
      </c>
      <c r="BG3" s="117"/>
      <c r="BH3" s="117"/>
    </row>
    <row r="4" customFormat="false" ht="33.75" hidden="true" customHeight="true" outlineLevel="0" collapsed="false">
      <c r="A4" s="415"/>
      <c r="B4" s="415"/>
      <c r="C4" s="415"/>
      <c r="D4" s="415"/>
      <c r="E4" s="416"/>
      <c r="F4" s="416"/>
      <c r="G4" s="416" t="n">
        <v>1</v>
      </c>
      <c r="H4" s="415"/>
      <c r="I4" s="415"/>
      <c r="J4" s="415"/>
      <c r="K4" s="415"/>
      <c r="L4" s="417"/>
      <c r="M4" s="40"/>
      <c r="N4" s="40"/>
      <c r="O4" s="40"/>
      <c r="P4" s="126"/>
      <c r="Q4" s="524"/>
      <c r="R4" s="426"/>
      <c r="S4" s="419" t="e">
        <f aca="false">INDEX(PT_DIFFERENTIATION_NUM_CS,MATCH(C4,PT_DIFFERENTIATION_CS_ID,0))</f>
        <v>#N/A</v>
      </c>
      <c r="T4" s="429" t="s">
        <v>544</v>
      </c>
      <c r="U4" s="421"/>
      <c r="V4" s="523"/>
      <c r="W4" s="523"/>
      <c r="X4" s="523"/>
      <c r="Y4" s="523"/>
      <c r="Z4" s="523"/>
      <c r="AA4" s="523"/>
      <c r="AB4" s="523"/>
      <c r="AC4" s="523"/>
      <c r="AD4" s="423" t="e">
        <f aca="false">INDEX(PT_DIFFERENTIATION_CS,MATCH(C4,PT_DIFFERENTIATION_CS_ID,0))</f>
        <v>#N/A</v>
      </c>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4" t="s">
        <v>545</v>
      </c>
      <c r="BE4" s="117"/>
      <c r="BF4" s="117" t="str">
        <f aca="false">IF(T4="","",T4)</f>
        <v>Наименование централизованной системы горячего водоснабжения</v>
      </c>
      <c r="BG4" s="117"/>
      <c r="BH4" s="117"/>
    </row>
    <row r="5" s="47" customFormat="true" ht="14.25" hidden="true" customHeight="true" outlineLevel="0" collapsed="false">
      <c r="A5" s="121"/>
      <c r="B5" s="121"/>
      <c r="C5" s="121"/>
      <c r="D5" s="121"/>
      <c r="E5" s="416"/>
      <c r="F5" s="416"/>
      <c r="G5" s="416"/>
      <c r="H5" s="416" t="n">
        <v>1</v>
      </c>
      <c r="I5" s="121"/>
      <c r="J5" s="121"/>
      <c r="K5" s="121"/>
      <c r="L5" s="191"/>
      <c r="M5" s="46"/>
      <c r="N5" s="46"/>
      <c r="O5" s="46"/>
      <c r="P5" s="581"/>
      <c r="Q5" s="582"/>
      <c r="R5" s="435"/>
      <c r="S5" s="305"/>
      <c r="T5" s="583"/>
      <c r="U5" s="503"/>
      <c r="V5" s="525"/>
      <c r="W5" s="525"/>
      <c r="X5" s="525"/>
      <c r="Y5" s="525"/>
      <c r="Z5" s="525"/>
      <c r="AA5" s="525"/>
      <c r="AB5" s="525"/>
      <c r="AC5" s="525"/>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5" t="s">
        <v>418</v>
      </c>
      <c r="BE5" s="117"/>
      <c r="BF5" s="117" t="str">
        <f aca="false">IF(T5="","",T5)</f>
        <v/>
      </c>
      <c r="BG5" s="117"/>
      <c r="BH5" s="117"/>
    </row>
    <row r="6" s="47" customFormat="true" ht="14.25" hidden="true" customHeight="true" outlineLevel="0" collapsed="false">
      <c r="A6" s="121"/>
      <c r="B6" s="121"/>
      <c r="C6" s="121"/>
      <c r="D6" s="121"/>
      <c r="E6" s="416"/>
      <c r="F6" s="416"/>
      <c r="G6" s="416"/>
      <c r="H6" s="416"/>
      <c r="I6" s="431" t="str">
        <f aca="false">S5&amp;".1"</f>
        <v>.1</v>
      </c>
      <c r="J6" s="121"/>
      <c r="K6" s="121"/>
      <c r="L6" s="191" t="s">
        <v>419</v>
      </c>
      <c r="M6" s="510"/>
      <c r="N6" s="510"/>
      <c r="O6" s="510"/>
      <c r="P6" s="120" t="n">
        <v>1</v>
      </c>
      <c r="Q6" s="120"/>
      <c r="R6" s="432"/>
      <c r="S6" s="305"/>
      <c r="T6" s="502"/>
      <c r="U6" s="503"/>
      <c r="V6" s="525"/>
      <c r="W6" s="525"/>
      <c r="X6" s="525"/>
      <c r="Y6" s="525"/>
      <c r="Z6" s="525"/>
      <c r="AA6" s="525"/>
      <c r="AB6" s="525"/>
      <c r="AC6" s="525"/>
      <c r="AD6" s="504"/>
      <c r="AE6" s="504"/>
      <c r="AF6" s="504"/>
      <c r="AG6" s="504"/>
      <c r="AH6" s="504"/>
      <c r="AI6" s="504"/>
      <c r="AJ6" s="504"/>
      <c r="AK6" s="504"/>
      <c r="AL6" s="504"/>
      <c r="AM6" s="504"/>
      <c r="AN6" s="504"/>
      <c r="AO6" s="504"/>
      <c r="AP6" s="504"/>
      <c r="AQ6" s="504"/>
      <c r="AR6" s="504"/>
      <c r="AS6" s="504"/>
      <c r="AT6" s="504"/>
      <c r="AU6" s="504"/>
      <c r="AV6" s="504"/>
      <c r="AW6" s="504"/>
      <c r="AX6" s="504"/>
      <c r="AY6" s="504"/>
      <c r="AZ6" s="504"/>
      <c r="BA6" s="504"/>
      <c r="BB6" s="504"/>
      <c r="BC6" s="505"/>
      <c r="BE6" s="117"/>
      <c r="BF6" s="117" t="str">
        <f aca="false">IF(T6="","",T6)</f>
        <v/>
      </c>
      <c r="BG6" s="117"/>
      <c r="BH6" s="117"/>
    </row>
    <row r="7" s="47" customFormat="true" ht="14.25" hidden="true" customHeight="true" outlineLevel="0" collapsed="false">
      <c r="A7" s="121"/>
      <c r="B7" s="121"/>
      <c r="C7" s="121"/>
      <c r="D7" s="121"/>
      <c r="E7" s="416"/>
      <c r="F7" s="416"/>
      <c r="G7" s="416"/>
      <c r="H7" s="416"/>
      <c r="I7" s="431"/>
      <c r="J7" s="431" t="str">
        <f aca="false">S5&amp;".1"</f>
        <v>.1</v>
      </c>
      <c r="K7" s="121"/>
      <c r="L7" s="191"/>
      <c r="M7" s="510"/>
      <c r="N7" s="510"/>
      <c r="O7" s="510"/>
      <c r="P7" s="120"/>
      <c r="Q7" s="120" t="n">
        <v>1</v>
      </c>
      <c r="R7" s="435"/>
      <c r="S7" s="305"/>
      <c r="T7" s="526"/>
      <c r="U7" s="503"/>
      <c r="V7" s="525"/>
      <c r="W7" s="525"/>
      <c r="X7" s="525"/>
      <c r="Y7" s="525"/>
      <c r="Z7" s="525"/>
      <c r="AA7" s="525"/>
      <c r="AB7" s="525"/>
      <c r="AC7" s="525"/>
      <c r="AD7" s="504"/>
      <c r="AE7" s="504"/>
      <c r="AF7" s="504"/>
      <c r="AG7" s="504"/>
      <c r="AH7" s="504"/>
      <c r="AI7" s="504"/>
      <c r="AJ7" s="504"/>
      <c r="AK7" s="504"/>
      <c r="AL7" s="504"/>
      <c r="AM7" s="504"/>
      <c r="AN7" s="504"/>
      <c r="AO7" s="504"/>
      <c r="AP7" s="504"/>
      <c r="AQ7" s="504"/>
      <c r="AR7" s="504"/>
      <c r="AS7" s="504"/>
      <c r="AT7" s="504"/>
      <c r="AU7" s="504"/>
      <c r="AV7" s="504"/>
      <c r="AW7" s="504"/>
      <c r="AX7" s="504"/>
      <c r="AY7" s="504"/>
      <c r="AZ7" s="504"/>
      <c r="BA7" s="504"/>
      <c r="BB7" s="504"/>
      <c r="BC7" s="505"/>
      <c r="BE7" s="117"/>
      <c r="BF7" s="117" t="str">
        <f aca="false">IF(T7="","",T7)</f>
        <v/>
      </c>
      <c r="BG7" s="117"/>
      <c r="BH7" s="117"/>
    </row>
    <row r="8" customFormat="false" ht="11.25" hidden="true" customHeight="true" outlineLevel="0" collapsed="false">
      <c r="A8" s="415"/>
      <c r="B8" s="415"/>
      <c r="C8" s="415"/>
      <c r="D8" s="415"/>
      <c r="E8" s="416"/>
      <c r="F8" s="416"/>
      <c r="G8" s="416"/>
      <c r="H8" s="416"/>
      <c r="I8" s="431"/>
      <c r="J8" s="431"/>
      <c r="K8" s="431" t="e">
        <f aca="false">S4&amp;".1"</f>
        <v>#N/A</v>
      </c>
      <c r="L8" s="417"/>
      <c r="P8" s="120"/>
      <c r="Q8" s="120"/>
      <c r="R8" s="527" t="n">
        <v>1</v>
      </c>
      <c r="S8" s="477" t="e">
        <f aca="false">$K8</f>
        <v>#N/A</v>
      </c>
      <c r="T8" s="562"/>
      <c r="U8" s="421"/>
      <c r="V8" s="438"/>
      <c r="W8" s="440"/>
      <c r="X8" s="438"/>
      <c r="Y8" s="440"/>
      <c r="Z8" s="441"/>
      <c r="AA8" s="203" t="s">
        <v>63</v>
      </c>
      <c r="AB8" s="441"/>
      <c r="AC8" s="203" t="s">
        <v>63</v>
      </c>
      <c r="AD8" s="203" t="s">
        <v>63</v>
      </c>
      <c r="AE8" s="529"/>
      <c r="AF8" s="301" t="n">
        <v>1</v>
      </c>
      <c r="AG8" s="580"/>
      <c r="AH8" s="203" t="s">
        <v>63</v>
      </c>
      <c r="AI8" s="529"/>
      <c r="AJ8" s="301" t="n">
        <v>1</v>
      </c>
      <c r="AK8" s="584"/>
      <c r="AL8" s="203" t="s">
        <v>63</v>
      </c>
      <c r="AM8" s="269"/>
      <c r="AN8" s="301" t="n">
        <v>1</v>
      </c>
      <c r="AO8" s="585"/>
      <c r="AP8" s="586" t="s">
        <v>63</v>
      </c>
      <c r="AQ8" s="530"/>
      <c r="AR8" s="301" t="n">
        <v>1</v>
      </c>
      <c r="AS8" s="83"/>
      <c r="AT8" s="438"/>
      <c r="AU8" s="440"/>
      <c r="AV8" s="438"/>
      <c r="AW8" s="440"/>
      <c r="AX8" s="441"/>
      <c r="AY8" s="203" t="s">
        <v>63</v>
      </c>
      <c r="AZ8" s="441"/>
      <c r="BA8" s="203" t="s">
        <v>63</v>
      </c>
      <c r="BB8" s="489"/>
      <c r="BC8" s="442" t="s">
        <v>515</v>
      </c>
      <c r="BE8" s="117"/>
      <c r="BF8" s="117" t="str">
        <f aca="false">IF(T8="","",T8)</f>
        <v/>
      </c>
      <c r="BG8" s="117"/>
      <c r="BH8" s="117"/>
    </row>
    <row r="9" customFormat="false" ht="11.25" hidden="true" customHeight="true" outlineLevel="0" collapsed="false">
      <c r="A9" s="415"/>
      <c r="B9" s="415"/>
      <c r="C9" s="415"/>
      <c r="D9" s="415"/>
      <c r="E9" s="416"/>
      <c r="F9" s="416"/>
      <c r="G9" s="416"/>
      <c r="H9" s="416"/>
      <c r="I9" s="431"/>
      <c r="J9" s="431"/>
      <c r="K9" s="431"/>
      <c r="L9" s="417"/>
      <c r="P9" s="120"/>
      <c r="Q9" s="120"/>
      <c r="R9" s="527"/>
      <c r="S9" s="477"/>
      <c r="T9" s="562"/>
      <c r="U9" s="421"/>
      <c r="V9" s="519"/>
      <c r="W9" s="533"/>
      <c r="X9" s="519"/>
      <c r="Y9" s="533"/>
      <c r="Z9" s="519"/>
      <c r="AA9" s="519"/>
      <c r="AB9" s="519"/>
      <c r="AC9" s="519"/>
      <c r="AD9" s="203"/>
      <c r="AE9" s="529"/>
      <c r="AF9" s="301"/>
      <c r="AG9" s="580"/>
      <c r="AH9" s="203"/>
      <c r="AI9" s="529"/>
      <c r="AJ9" s="301"/>
      <c r="AK9" s="584"/>
      <c r="AL9" s="203"/>
      <c r="AM9" s="269"/>
      <c r="AN9" s="301"/>
      <c r="AO9" s="585"/>
      <c r="AP9" s="586"/>
      <c r="AQ9" s="532"/>
      <c r="AR9" s="167"/>
      <c r="AS9" s="167" t="s">
        <v>516</v>
      </c>
      <c r="AT9" s="519"/>
      <c r="AU9" s="533"/>
      <c r="AV9" s="519"/>
      <c r="AW9" s="533"/>
      <c r="AX9" s="519"/>
      <c r="AY9" s="519"/>
      <c r="AZ9" s="519"/>
      <c r="BA9" s="519"/>
      <c r="BB9" s="531"/>
      <c r="BC9" s="442"/>
      <c r="BE9" s="117"/>
      <c r="BF9" s="117"/>
      <c r="BG9" s="117"/>
      <c r="BH9" s="117"/>
    </row>
    <row r="10" customFormat="false" ht="11.25" hidden="true" customHeight="true" outlineLevel="0" collapsed="false">
      <c r="A10" s="415"/>
      <c r="B10" s="415"/>
      <c r="C10" s="415"/>
      <c r="D10" s="415"/>
      <c r="E10" s="416"/>
      <c r="F10" s="416"/>
      <c r="G10" s="416"/>
      <c r="H10" s="416"/>
      <c r="I10" s="431"/>
      <c r="J10" s="431"/>
      <c r="K10" s="431"/>
      <c r="L10" s="417"/>
      <c r="P10" s="120"/>
      <c r="Q10" s="120"/>
      <c r="R10" s="527"/>
      <c r="S10" s="477"/>
      <c r="T10" s="562"/>
      <c r="U10" s="421"/>
      <c r="V10" s="519"/>
      <c r="W10" s="533"/>
      <c r="X10" s="519"/>
      <c r="Y10" s="533"/>
      <c r="Z10" s="519"/>
      <c r="AA10" s="519"/>
      <c r="AB10" s="519"/>
      <c r="AC10" s="519"/>
      <c r="AD10" s="203"/>
      <c r="AE10" s="529"/>
      <c r="AF10" s="301"/>
      <c r="AG10" s="580"/>
      <c r="AH10" s="203"/>
      <c r="AI10" s="529"/>
      <c r="AJ10" s="301"/>
      <c r="AK10" s="584"/>
      <c r="AL10" s="203"/>
      <c r="AM10" s="532"/>
      <c r="AN10" s="587"/>
      <c r="AO10" s="587" t="s">
        <v>517</v>
      </c>
      <c r="AP10" s="167"/>
      <c r="AQ10" s="167"/>
      <c r="AR10" s="167"/>
      <c r="AS10" s="519"/>
      <c r="AT10" s="519"/>
      <c r="AU10" s="533"/>
      <c r="AV10" s="519"/>
      <c r="AW10" s="533"/>
      <c r="AX10" s="519"/>
      <c r="AY10" s="519"/>
      <c r="AZ10" s="519"/>
      <c r="BA10" s="519"/>
      <c r="BB10" s="531"/>
      <c r="BC10" s="442"/>
      <c r="BE10" s="117"/>
      <c r="BF10" s="117"/>
      <c r="BG10" s="117"/>
      <c r="BH10" s="117"/>
    </row>
    <row r="11" customFormat="false" ht="11.25" hidden="true" customHeight="true" outlineLevel="0" collapsed="false">
      <c r="A11" s="415"/>
      <c r="B11" s="415"/>
      <c r="C11" s="415"/>
      <c r="D11" s="415"/>
      <c r="E11" s="416"/>
      <c r="F11" s="416"/>
      <c r="G11" s="416"/>
      <c r="H11" s="416"/>
      <c r="I11" s="431"/>
      <c r="J11" s="431"/>
      <c r="K11" s="431"/>
      <c r="L11" s="417"/>
      <c r="P11" s="120"/>
      <c r="Q11" s="120"/>
      <c r="R11" s="527"/>
      <c r="S11" s="477"/>
      <c r="T11" s="562"/>
      <c r="U11" s="421"/>
      <c r="V11" s="519"/>
      <c r="W11" s="533"/>
      <c r="X11" s="519"/>
      <c r="Y11" s="533"/>
      <c r="Z11" s="519"/>
      <c r="AA11" s="519"/>
      <c r="AB11" s="519"/>
      <c r="AC11" s="519"/>
      <c r="AD11" s="203"/>
      <c r="AE11" s="529"/>
      <c r="AF11" s="301"/>
      <c r="AG11" s="580"/>
      <c r="AH11" s="203"/>
      <c r="AI11" s="535"/>
      <c r="AJ11" s="160"/>
      <c r="AK11" s="382" t="s">
        <v>518</v>
      </c>
      <c r="AL11" s="519"/>
      <c r="AM11" s="519"/>
      <c r="AN11" s="519"/>
      <c r="AO11" s="519"/>
      <c r="AP11" s="519"/>
      <c r="AQ11" s="519"/>
      <c r="AR11" s="519"/>
      <c r="AS11" s="519"/>
      <c r="AT11" s="519"/>
      <c r="AU11" s="533"/>
      <c r="AV11" s="519"/>
      <c r="AW11" s="533"/>
      <c r="AX11" s="519"/>
      <c r="AY11" s="519"/>
      <c r="AZ11" s="519"/>
      <c r="BA11" s="519"/>
      <c r="BB11" s="531"/>
      <c r="BC11" s="442"/>
      <c r="BE11" s="117"/>
      <c r="BF11" s="117"/>
      <c r="BG11" s="117"/>
      <c r="BH11" s="117"/>
    </row>
    <row r="12" customFormat="false" ht="11.25" hidden="true" customHeight="true" outlineLevel="0" collapsed="false">
      <c r="A12" s="415"/>
      <c r="B12" s="415"/>
      <c r="C12" s="415"/>
      <c r="D12" s="415"/>
      <c r="E12" s="416"/>
      <c r="F12" s="416"/>
      <c r="G12" s="416"/>
      <c r="H12" s="416"/>
      <c r="I12" s="431"/>
      <c r="J12" s="431"/>
      <c r="K12" s="431"/>
      <c r="L12" s="417"/>
      <c r="P12" s="120"/>
      <c r="Q12" s="120"/>
      <c r="R12" s="527"/>
      <c r="S12" s="477"/>
      <c r="T12" s="562"/>
      <c r="U12" s="421"/>
      <c r="V12" s="519"/>
      <c r="W12" s="520" t="str">
        <f aca="false">Z8&amp;"-"&amp;AB8</f>
        <v>-</v>
      </c>
      <c r="X12" s="519"/>
      <c r="Y12" s="520" t="str">
        <f aca="false">AB8&amp;"-"&amp;AD8</f>
        <v>-да</v>
      </c>
      <c r="Z12" s="519"/>
      <c r="AA12" s="519"/>
      <c r="AB12" s="519"/>
      <c r="AC12" s="519"/>
      <c r="AD12" s="203"/>
      <c r="AE12" s="537"/>
      <c r="AF12" s="538"/>
      <c r="AG12" s="167" t="s">
        <v>519</v>
      </c>
      <c r="AH12" s="519"/>
      <c r="AI12" s="519"/>
      <c r="AJ12" s="519"/>
      <c r="AK12" s="519"/>
      <c r="AL12" s="519"/>
      <c r="AM12" s="519"/>
      <c r="AN12" s="519"/>
      <c r="AO12" s="519"/>
      <c r="AP12" s="519"/>
      <c r="AQ12" s="519"/>
      <c r="AR12" s="519"/>
      <c r="AS12" s="519"/>
      <c r="AT12" s="519"/>
      <c r="AU12" s="520" t="str">
        <f aca="false">AX8&amp;"-"&amp;AZ8</f>
        <v>-</v>
      </c>
      <c r="AV12" s="519"/>
      <c r="AW12" s="520" t="str">
        <f aca="false">AZ8&amp;"-"&amp;BB8</f>
        <v>-</v>
      </c>
      <c r="AX12" s="519"/>
      <c r="AY12" s="519"/>
      <c r="AZ12" s="519"/>
      <c r="BA12" s="519"/>
      <c r="BB12" s="536" t="str">
        <f aca="false">BE8&amp;"-"&amp;BG8</f>
        <v>-</v>
      </c>
      <c r="BC12" s="442"/>
      <c r="BE12" s="117"/>
      <c r="BF12" s="117" t="str">
        <f aca="false">IF(T12="","",T12)</f>
        <v/>
      </c>
      <c r="BG12" s="117"/>
      <c r="BH12" s="117"/>
    </row>
    <row r="13" customFormat="false" ht="11.25" hidden="true" customHeight="true" outlineLevel="0" collapsed="false">
      <c r="A13" s="415"/>
      <c r="B13" s="415"/>
      <c r="C13" s="415"/>
      <c r="D13" s="415"/>
      <c r="E13" s="416"/>
      <c r="F13" s="416"/>
      <c r="G13" s="416"/>
      <c r="H13" s="416"/>
      <c r="I13" s="431"/>
      <c r="J13" s="431"/>
      <c r="K13" s="415"/>
      <c r="L13" s="417"/>
      <c r="P13" s="120"/>
      <c r="Q13" s="120"/>
      <c r="R13" s="432"/>
      <c r="S13" s="444"/>
      <c r="T13" s="447" t="s">
        <v>481</v>
      </c>
      <c r="U13" s="193"/>
      <c r="V13" s="193"/>
      <c r="W13" s="193"/>
      <c r="X13" s="193"/>
      <c r="Y13" s="193"/>
      <c r="Z13" s="193"/>
      <c r="AA13" s="193"/>
      <c r="AB13" s="193"/>
      <c r="AC13" s="193"/>
      <c r="AD13" s="558"/>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446"/>
      <c r="BC13" s="442"/>
      <c r="BE13" s="117"/>
      <c r="BF13" s="117" t="str">
        <f aca="false">IF(T13="","",T13)</f>
        <v>Добавить строку</v>
      </c>
      <c r="BG13" s="117"/>
      <c r="BH13" s="117"/>
    </row>
    <row r="14" s="47" customFormat="true" ht="14.25" hidden="true" customHeight="true" outlineLevel="0" collapsed="false">
      <c r="A14" s="121"/>
      <c r="B14" s="121"/>
      <c r="C14" s="121"/>
      <c r="D14" s="121"/>
      <c r="E14" s="416"/>
      <c r="F14" s="416"/>
      <c r="G14" s="416"/>
      <c r="H14" s="416"/>
      <c r="I14" s="431"/>
      <c r="J14" s="121"/>
      <c r="K14" s="121"/>
      <c r="L14" s="191"/>
      <c r="M14" s="510"/>
      <c r="N14" s="510"/>
      <c r="O14" s="510"/>
      <c r="P14" s="120"/>
      <c r="Q14" s="120"/>
      <c r="R14" s="432"/>
      <c r="S14" s="506"/>
      <c r="T14" s="507"/>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8"/>
      <c r="AY14" s="508"/>
      <c r="AZ14" s="508"/>
      <c r="BA14" s="508"/>
      <c r="BB14" s="508"/>
      <c r="BC14" s="509"/>
      <c r="BE14" s="117"/>
      <c r="BF14" s="117" t="str">
        <f aca="false">IF(T14="","",T14)</f>
        <v/>
      </c>
      <c r="BG14" s="117"/>
      <c r="BH14" s="117"/>
    </row>
    <row r="15" s="47" customFormat="true" ht="14.25" hidden="true" customHeight="true" outlineLevel="0" collapsed="false">
      <c r="A15" s="121"/>
      <c r="B15" s="121"/>
      <c r="C15" s="121"/>
      <c r="D15" s="121"/>
      <c r="E15" s="416"/>
      <c r="F15" s="416"/>
      <c r="G15" s="416"/>
      <c r="H15" s="416"/>
      <c r="I15" s="121"/>
      <c r="J15" s="121"/>
      <c r="K15" s="121"/>
      <c r="L15" s="191"/>
      <c r="M15" s="46"/>
      <c r="N15" s="46"/>
      <c r="P15" s="155"/>
      <c r="Q15" s="452"/>
      <c r="R15" s="539"/>
      <c r="S15" s="506"/>
      <c r="T15" s="507"/>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8"/>
      <c r="AY15" s="508"/>
      <c r="AZ15" s="508"/>
      <c r="BA15" s="508"/>
      <c r="BB15" s="508"/>
      <c r="BC15" s="509"/>
      <c r="BE15" s="117"/>
      <c r="BF15" s="117" t="str">
        <f aca="false">IF(T15="","",T15)</f>
        <v/>
      </c>
      <c r="BG15" s="117"/>
      <c r="BH15" s="117"/>
    </row>
    <row r="16" s="47" customFormat="true" ht="14.25" hidden="true" customHeight="true" outlineLevel="0" collapsed="false">
      <c r="A16" s="121"/>
      <c r="B16" s="121"/>
      <c r="C16" s="121"/>
      <c r="D16" s="121"/>
      <c r="E16" s="416"/>
      <c r="F16" s="416"/>
      <c r="G16" s="416"/>
      <c r="H16" s="121"/>
      <c r="I16" s="121"/>
      <c r="J16" s="121"/>
      <c r="K16" s="121"/>
      <c r="L16" s="191"/>
      <c r="M16" s="46"/>
      <c r="N16" s="46"/>
      <c r="P16" s="155"/>
      <c r="Q16" s="452"/>
      <c r="R16" s="155"/>
      <c r="S16" s="457"/>
      <c r="T16" s="460"/>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E16" s="117"/>
      <c r="BF16" s="117" t="str">
        <f aca="false">IF(T16="","",T16)</f>
        <v/>
      </c>
      <c r="BG16" s="117"/>
      <c r="BH16" s="117"/>
    </row>
    <row r="17" s="47" customFormat="true" ht="14.25" hidden="true" customHeight="true" outlineLevel="0" collapsed="false">
      <c r="A17" s="121"/>
      <c r="B17" s="121"/>
      <c r="C17" s="121"/>
      <c r="D17" s="121"/>
      <c r="E17" s="416"/>
      <c r="F17" s="416"/>
      <c r="G17" s="121"/>
      <c r="H17" s="121"/>
      <c r="I17" s="121"/>
      <c r="J17" s="121"/>
      <c r="K17" s="121"/>
      <c r="L17" s="191"/>
      <c r="M17" s="456"/>
      <c r="N17" s="456"/>
      <c r="P17" s="155"/>
      <c r="Q17" s="452"/>
      <c r="R17" s="155"/>
      <c r="S17" s="457"/>
      <c r="T17" s="460" t="s">
        <v>261</v>
      </c>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E17" s="117"/>
      <c r="BF17" s="117" t="str">
        <f aca="false">IF(T17="","",T17)</f>
        <v>Добавить централизованную систему для дифференциации</v>
      </c>
      <c r="BG17" s="117"/>
      <c r="BH17" s="117"/>
    </row>
    <row r="18" s="47" customFormat="true" ht="14.25" hidden="true" customHeight="true" outlineLevel="0" collapsed="false">
      <c r="A18" s="121"/>
      <c r="B18" s="121"/>
      <c r="C18" s="121"/>
      <c r="D18" s="121"/>
      <c r="E18" s="416"/>
      <c r="F18" s="121"/>
      <c r="G18" s="121"/>
      <c r="H18" s="121"/>
      <c r="I18" s="121"/>
      <c r="J18" s="121"/>
      <c r="K18" s="121"/>
      <c r="L18" s="191"/>
      <c r="M18" s="456"/>
      <c r="N18" s="456"/>
      <c r="P18" s="155"/>
      <c r="Q18" s="452"/>
      <c r="R18" s="155"/>
      <c r="S18" s="457"/>
      <c r="T18" s="460" t="s">
        <v>268</v>
      </c>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E18" s="117"/>
      <c r="BF18" s="117" t="str">
        <f aca="false">IF(T18="","",T18)</f>
        <v>Добавить территорию для дифференциации</v>
      </c>
      <c r="BG18" s="117"/>
      <c r="BH18" s="117"/>
    </row>
    <row r="19" customFormat="false" ht="14.25" hidden="true" customHeight="true" outlineLevel="0" collapsed="false"/>
    <row r="20" customFormat="false" ht="14.25" hidden="true" customHeight="true" outlineLevel="0" collapsed="false">
      <c r="AD20" s="459" t="s">
        <v>53</v>
      </c>
      <c r="AE20" s="540"/>
      <c r="AF20" s="459" t="n">
        <v>1</v>
      </c>
      <c r="AG20" s="541"/>
      <c r="AH20" s="459" t="s">
        <v>53</v>
      </c>
      <c r="AI20" s="540"/>
      <c r="AJ20" s="459" t="n">
        <v>1</v>
      </c>
      <c r="AK20" s="541"/>
      <c r="AL20" s="459" t="s">
        <v>53</v>
      </c>
      <c r="AM20" s="542"/>
      <c r="AN20" s="459" t="n">
        <v>1</v>
      </c>
      <c r="AO20" s="122"/>
      <c r="AP20" s="459" t="s">
        <v>53</v>
      </c>
      <c r="AQ20" s="542"/>
      <c r="AR20" s="459" t="n">
        <v>1</v>
      </c>
      <c r="AS20" s="122"/>
      <c r="AT20" s="439"/>
      <c r="AU20" s="500"/>
      <c r="AV20" s="439"/>
      <c r="AW20" s="500"/>
      <c r="AX20" s="546"/>
      <c r="AY20" s="248" t="s">
        <v>63</v>
      </c>
      <c r="AZ20" s="546"/>
      <c r="BA20" s="248" t="s">
        <v>63</v>
      </c>
    </row>
    <row r="21" customFormat="false" ht="14.25" hidden="true" customHeight="true" outlineLevel="0" collapsed="false">
      <c r="BD21" s="119"/>
      <c r="BE21" s="119"/>
      <c r="BF21" s="119"/>
      <c r="BG21" s="119"/>
      <c r="BH21" s="119"/>
    </row>
    <row r="22" customFormat="false" ht="14.25" hidden="true" customHeight="true" outlineLevel="0" collapsed="false">
      <c r="O22" s="465" t="s">
        <v>431</v>
      </c>
      <c r="Z22" s="498"/>
      <c r="AB22" s="498"/>
      <c r="AX22" s="498"/>
      <c r="AZ22" s="498"/>
      <c r="BD22" s="119"/>
      <c r="BE22" s="119"/>
      <c r="BF22" s="119"/>
      <c r="BG22" s="119"/>
      <c r="BH22" s="119"/>
    </row>
    <row r="23" customFormat="false" ht="14.25" hidden="true" customHeight="true" outlineLevel="0" collapsed="false">
      <c r="BD23" s="119"/>
      <c r="BE23" s="119"/>
      <c r="BF23" s="119"/>
      <c r="BG23" s="119"/>
      <c r="BH23" s="119"/>
    </row>
    <row r="24" s="547" customFormat="true" ht="14.25" hidden="true" customHeight="true" outlineLevel="0" collapsed="false">
      <c r="M24" s="548"/>
      <c r="N24" s="548"/>
      <c r="O24" s="547" t="s">
        <v>432</v>
      </c>
      <c r="P24" s="548"/>
      <c r="Q24" s="549"/>
      <c r="R24" s="549"/>
      <c r="AA24" s="547" t="s">
        <v>434</v>
      </c>
      <c r="AC24" s="547" t="s">
        <v>435</v>
      </c>
      <c r="AD24" s="547" t="s">
        <v>482</v>
      </c>
      <c r="AH24" s="547" t="s">
        <v>482</v>
      </c>
      <c r="AK24" s="547" t="s">
        <v>520</v>
      </c>
      <c r="AL24" s="547" t="s">
        <v>482</v>
      </c>
      <c r="AP24" s="547" t="s">
        <v>482</v>
      </c>
      <c r="AY24" s="547" t="s">
        <v>434</v>
      </c>
      <c r="BA24" s="547" t="s">
        <v>435</v>
      </c>
      <c r="BD24" s="550"/>
      <c r="BE24" s="550"/>
      <c r="BF24" s="550"/>
      <c r="BG24" s="550"/>
      <c r="BH24" s="550"/>
    </row>
    <row r="25" customFormat="false" ht="14.25" hidden="true" customHeight="true" outlineLevel="0" collapsed="false">
      <c r="O25" s="417"/>
      <c r="BD25" s="119"/>
      <c r="BE25" s="119"/>
      <c r="BF25" s="119"/>
      <c r="BG25" s="119"/>
      <c r="BH25" s="119"/>
    </row>
    <row r="26" customFormat="false" ht="14.25" hidden="true" customHeight="true" outlineLevel="0" collapsed="false">
      <c r="O26" s="417"/>
      <c r="BD26" s="119"/>
      <c r="BE26" s="119"/>
      <c r="BF26" s="119"/>
      <c r="BG26" s="119"/>
      <c r="BH26" s="119"/>
    </row>
    <row r="27" customFormat="false" ht="14.25" hidden="false" customHeight="true" outlineLevel="0" collapsed="false">
      <c r="Q27" s="551"/>
      <c r="R27" s="467"/>
      <c r="S27" s="468"/>
      <c r="T27" s="79"/>
      <c r="U27" s="79"/>
    </row>
    <row r="28" customFormat="false" ht="14.25" hidden="false" customHeight="true" outlineLevel="0" collapsed="false">
      <c r="Q28" s="551"/>
      <c r="R28" s="467"/>
      <c r="S28" s="212" t="str">
        <f aca="false">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4"/>
    </row>
    <row r="29" customFormat="false" ht="14.25" hidden="false" customHeight="true" outlineLevel="0" collapsed="false">
      <c r="Q29" s="551"/>
      <c r="R29" s="467"/>
      <c r="S29" s="265" t="str">
        <f aca="false">IF(org=0,"Не определено",org)</f>
        <v>ООО "Газпром теплоэнерго Ярославль"</v>
      </c>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14"/>
    </row>
    <row r="30" customFormat="false" ht="14.25" hidden="false" customHeight="true" outlineLevel="0" collapsed="false">
      <c r="Q30" s="551"/>
      <c r="R30" s="467"/>
      <c r="S30" s="468"/>
      <c r="T30" s="79"/>
      <c r="U30" s="7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69"/>
      <c r="AY30" s="469"/>
      <c r="AZ30" s="469"/>
      <c r="BA30" s="469"/>
    </row>
    <row r="31" s="174" customFormat="true" ht="25.5" hidden="false" customHeight="true" outlineLevel="0" collapsed="false">
      <c r="A31" s="139"/>
      <c r="B31" s="139"/>
      <c r="C31" s="139"/>
      <c r="D31" s="139"/>
      <c r="E31" s="139"/>
      <c r="F31" s="139"/>
      <c r="G31" s="139"/>
      <c r="H31" s="139"/>
      <c r="I31" s="139"/>
      <c r="J31" s="139"/>
      <c r="K31" s="139"/>
      <c r="L31" s="417"/>
      <c r="M31" s="139"/>
      <c r="N31" s="139"/>
      <c r="O31" s="139"/>
      <c r="P31" s="139"/>
      <c r="Q31" s="139"/>
      <c r="S31" s="470" t="s">
        <v>37</v>
      </c>
      <c r="T31" s="470"/>
      <c r="U31" s="471"/>
      <c r="V31" s="472" t="str">
        <f aca="false">IF(TITLE_NAME_OR_PR_CHANGE="",IF(TITLE_NAME_OR_PR="","",TITLE_NAME_OR_PR),TITLE_NAME_OR_PR_CHANGE)</f>
        <v>Министерство тарифного регулирования Ярославской области</v>
      </c>
      <c r="W31" s="472"/>
      <c r="X31" s="472"/>
      <c r="Y31" s="472"/>
      <c r="Z31" s="472"/>
      <c r="AA31" s="472"/>
      <c r="AB31" s="472"/>
      <c r="AC31" s="42"/>
      <c r="AD31" s="472" t="str">
        <f aca="false">IF(TITLE_NAME_OR_PR_CHANGE="",IF(TITLE_NAME_OR_PR="","",TITLE_NAME_OR_PR),TITLE_NAME_OR_PR_CHANGE)</f>
        <v>Министерство тарифного регулирования Ярославской области</v>
      </c>
      <c r="AE31" s="472"/>
      <c r="AF31" s="472"/>
      <c r="AG31" s="472"/>
      <c r="AH31" s="472"/>
      <c r="AI31" s="472"/>
      <c r="AJ31" s="472"/>
      <c r="AK31" s="472"/>
      <c r="AL31" s="472"/>
      <c r="AM31" s="472"/>
      <c r="AN31" s="472"/>
      <c r="AO31" s="472"/>
      <c r="AP31" s="472"/>
      <c r="AQ31" s="472"/>
      <c r="AR31" s="472"/>
      <c r="AS31" s="472"/>
      <c r="AT31" s="472"/>
      <c r="AU31" s="472"/>
      <c r="AV31" s="472"/>
      <c r="AW31" s="472"/>
      <c r="AX31" s="472"/>
      <c r="AY31" s="472"/>
      <c r="AZ31" s="472"/>
      <c r="BA31" s="42"/>
      <c r="BB31" s="42"/>
      <c r="BC31" s="473"/>
      <c r="BD31" s="117"/>
      <c r="BE31" s="117"/>
      <c r="BF31" s="117"/>
      <c r="BG31" s="117"/>
      <c r="BH31" s="117"/>
    </row>
    <row r="32" s="174" customFormat="true" ht="18.75" hidden="false" customHeight="true" outlineLevel="0" collapsed="false">
      <c r="A32" s="139"/>
      <c r="B32" s="139"/>
      <c r="C32" s="139"/>
      <c r="D32" s="139"/>
      <c r="E32" s="139"/>
      <c r="F32" s="139"/>
      <c r="G32" s="139"/>
      <c r="H32" s="139"/>
      <c r="I32" s="139"/>
      <c r="J32" s="139"/>
      <c r="K32" s="139"/>
      <c r="L32" s="417"/>
      <c r="M32" s="139"/>
      <c r="N32" s="139"/>
      <c r="O32" s="139"/>
      <c r="P32" s="139"/>
      <c r="Q32" s="139"/>
      <c r="S32" s="470" t="s">
        <v>437</v>
      </c>
      <c r="T32" s="470"/>
      <c r="U32" s="471"/>
      <c r="V32" s="474" t="str">
        <f aca="false">IF(TITLE_DATE_PR_CHANGE="",IF(TITLE_DATE_PR="","",TITLE_DATE_PR),TITLE_DATE_PR_CHANGE)</f>
        <v>45279.46460648148</v>
      </c>
      <c r="W32" s="474"/>
      <c r="X32" s="474"/>
      <c r="Y32" s="474"/>
      <c r="Z32" s="474"/>
      <c r="AA32" s="474"/>
      <c r="AB32" s="474"/>
      <c r="AC32" s="42"/>
      <c r="AD32" s="474" t="str">
        <f aca="false">IF(TITLE_DATE_PR_CHANGE="",IF(TITLE_DATE_PR="","",TITLE_DATE_PR),TITLE_DATE_PR_CHANGE)</f>
        <v>45279.46460648148</v>
      </c>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2"/>
      <c r="BB32" s="42"/>
      <c r="BC32" s="473"/>
      <c r="BD32" s="117"/>
      <c r="BE32" s="117"/>
      <c r="BF32" s="117"/>
      <c r="BG32" s="117"/>
      <c r="BH32" s="117"/>
    </row>
    <row r="33" s="174" customFormat="true" ht="18.75" hidden="false" customHeight="true" outlineLevel="0" collapsed="false">
      <c r="A33" s="139"/>
      <c r="B33" s="139"/>
      <c r="C33" s="139"/>
      <c r="D33" s="139"/>
      <c r="E33" s="139"/>
      <c r="F33" s="139"/>
      <c r="G33" s="139"/>
      <c r="H33" s="139"/>
      <c r="I33" s="139"/>
      <c r="J33" s="139"/>
      <c r="K33" s="139"/>
      <c r="L33" s="417"/>
      <c r="M33" s="139"/>
      <c r="N33" s="139"/>
      <c r="O33" s="139"/>
      <c r="P33" s="139"/>
      <c r="Q33" s="139"/>
      <c r="S33" s="470" t="s">
        <v>438</v>
      </c>
      <c r="T33" s="470"/>
      <c r="U33" s="471"/>
      <c r="V33" s="472" t="str">
        <f aca="false">IF(TITLE_NUMBER_PR_CHANGE="",IF(TITLE_NUMBER_PR="","",TITLE_NUMBER_PR),TITLE_NUMBER_PR_CHANGE)</f>
        <v>403-гвс, 404-гвс, 406-гвс</v>
      </c>
      <c r="W33" s="472"/>
      <c r="X33" s="472"/>
      <c r="Y33" s="472"/>
      <c r="Z33" s="472"/>
      <c r="AA33" s="472"/>
      <c r="AB33" s="472"/>
      <c r="AC33" s="42"/>
      <c r="AD33" s="472" t="str">
        <f aca="false">IF(TITLE_NUMBER_PR_CHANGE="",IF(TITLE_NUMBER_PR="","",TITLE_NUMBER_PR),TITLE_NUMBER_PR_CHANGE)</f>
        <v>403-гвс, 404-гвс, 406-гвс</v>
      </c>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2"/>
      <c r="BB33" s="42"/>
      <c r="BC33" s="473"/>
      <c r="BD33" s="117"/>
      <c r="BE33" s="117"/>
      <c r="BF33" s="117"/>
      <c r="BG33" s="117"/>
      <c r="BH33" s="117"/>
    </row>
    <row r="34" s="174" customFormat="true" ht="18.75" hidden="false" customHeight="true" outlineLevel="0" collapsed="false">
      <c r="A34" s="139"/>
      <c r="B34" s="139"/>
      <c r="C34" s="139"/>
      <c r="D34" s="139"/>
      <c r="E34" s="139"/>
      <c r="F34" s="139"/>
      <c r="G34" s="139"/>
      <c r="H34" s="139"/>
      <c r="I34" s="139"/>
      <c r="J34" s="139"/>
      <c r="K34" s="139"/>
      <c r="L34" s="417"/>
      <c r="M34" s="139"/>
      <c r="N34" s="139"/>
      <c r="O34" s="139"/>
      <c r="P34" s="139"/>
      <c r="Q34" s="139"/>
      <c r="S34" s="470" t="s">
        <v>39</v>
      </c>
      <c r="T34" s="470"/>
      <c r="U34" s="471"/>
      <c r="V34" s="472" t="str">
        <f aca="false">IF(TITLE_IST_PUB_CHANGE="",IF(TITLE_IST_PUB="","",TITLE_IST_PUB),TITLE_IST_PUB_CHANGE)</f>
        <v>официальный интернет- портал правовой информации www.pravo.gov.ru</v>
      </c>
      <c r="W34" s="472"/>
      <c r="X34" s="472"/>
      <c r="Y34" s="472"/>
      <c r="Z34" s="472"/>
      <c r="AA34" s="472"/>
      <c r="AB34" s="472"/>
      <c r="AC34" s="42"/>
      <c r="AD34" s="472" t="str">
        <f aca="false">IF(TITLE_IST_PUB_CHANGE="",IF(TITLE_IST_PUB="","",TITLE_IST_PUB),TITLE_IST_PUB_CHANGE)</f>
        <v>официальный интернет- портал правовой информации www.pravo.gov.ru</v>
      </c>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42"/>
      <c r="BB34" s="42"/>
      <c r="BC34" s="473"/>
      <c r="BD34" s="117"/>
      <c r="BE34" s="117"/>
      <c r="BF34" s="117"/>
      <c r="BG34" s="117"/>
      <c r="BH34" s="117"/>
    </row>
    <row r="35" customFormat="false" ht="14.25" hidden="true" customHeight="true" outlineLevel="0" collapsed="false">
      <c r="Q35" s="551"/>
      <c r="R35" s="467"/>
      <c r="S35" s="468"/>
      <c r="T35" s="79"/>
      <c r="U35" s="79"/>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69"/>
      <c r="AV35" s="469"/>
      <c r="AW35" s="469"/>
      <c r="AX35" s="469"/>
      <c r="AY35" s="469"/>
      <c r="AZ35" s="469"/>
      <c r="BA35" s="469"/>
    </row>
    <row r="36" s="174" customFormat="true" ht="18.75" hidden="true" customHeight="true" outlineLevel="0" collapsed="false">
      <c r="A36" s="139"/>
      <c r="B36" s="139"/>
      <c r="C36" s="139"/>
      <c r="D36" s="139"/>
      <c r="E36" s="139"/>
      <c r="F36" s="139"/>
      <c r="G36" s="139"/>
      <c r="H36" s="139"/>
      <c r="I36" s="139"/>
      <c r="J36" s="139"/>
      <c r="K36" s="139"/>
      <c r="L36" s="417"/>
      <c r="M36" s="139"/>
      <c r="N36" s="139"/>
      <c r="O36" s="139"/>
      <c r="P36" s="139"/>
      <c r="Q36" s="139"/>
      <c r="S36" s="470" t="s">
        <v>437</v>
      </c>
      <c r="T36" s="470"/>
      <c r="U36" s="471"/>
      <c r="V36" s="474" t="str">
        <f aca="false">IF(TITLE_DATE_PR_CHANGE="",IF(TITLE_DATE_PR="","",TITLE_DATE_PR),TITLE_DATE_PR_CHANGE)</f>
        <v>45279.46460648148</v>
      </c>
      <c r="W36" s="474"/>
      <c r="X36" s="474"/>
      <c r="Y36" s="474"/>
      <c r="Z36" s="474"/>
      <c r="AA36" s="474"/>
      <c r="AB36" s="474"/>
      <c r="AC36" s="42"/>
      <c r="AD36" s="474" t="str">
        <f aca="false">IF(TITLE_DATE_PR_CHANGE="",IF(TITLE_DATE_PR="","",TITLE_DATE_PR),TITLE_DATE_PR_CHANGE)</f>
        <v>45279.46460648148</v>
      </c>
      <c r="AE36" s="474"/>
      <c r="AF36" s="474"/>
      <c r="AG36" s="474"/>
      <c r="AH36" s="474"/>
      <c r="AI36" s="474"/>
      <c r="AJ36" s="474"/>
      <c r="AK36" s="474"/>
      <c r="AL36" s="474"/>
      <c r="AM36" s="474"/>
      <c r="AN36" s="474"/>
      <c r="AO36" s="474"/>
      <c r="AP36" s="474"/>
      <c r="AQ36" s="474"/>
      <c r="AR36" s="474"/>
      <c r="AS36" s="474"/>
      <c r="AT36" s="474"/>
      <c r="AU36" s="474"/>
      <c r="AV36" s="474"/>
      <c r="AW36" s="474"/>
      <c r="AX36" s="474"/>
      <c r="AY36" s="474"/>
      <c r="AZ36" s="474"/>
      <c r="BA36" s="42"/>
      <c r="BB36" s="42"/>
      <c r="BC36" s="473"/>
      <c r="BD36" s="117"/>
      <c r="BE36" s="117"/>
      <c r="BF36" s="117"/>
      <c r="BG36" s="117"/>
      <c r="BH36" s="117"/>
    </row>
    <row r="37" s="174" customFormat="true" ht="18.75" hidden="true" customHeight="true" outlineLevel="0" collapsed="false">
      <c r="A37" s="139"/>
      <c r="B37" s="139"/>
      <c r="C37" s="139"/>
      <c r="D37" s="139"/>
      <c r="E37" s="139"/>
      <c r="F37" s="139"/>
      <c r="G37" s="139"/>
      <c r="H37" s="139"/>
      <c r="I37" s="139"/>
      <c r="J37" s="139"/>
      <c r="K37" s="139"/>
      <c r="L37" s="417"/>
      <c r="M37" s="139"/>
      <c r="N37" s="139"/>
      <c r="O37" s="139"/>
      <c r="P37" s="139"/>
      <c r="Q37" s="139"/>
      <c r="S37" s="470" t="s">
        <v>438</v>
      </c>
      <c r="T37" s="470"/>
      <c r="U37" s="471"/>
      <c r="V37" s="472" t="str">
        <f aca="false">IF(TITLE_NUMBER_PR_CHANGE="",IF(TITLE_NUMBER_PR="","",TITLE_NUMBER_PR),TITLE_NUMBER_PR_CHANGE)</f>
        <v>403-гвс, 404-гвс, 406-гвс</v>
      </c>
      <c r="W37" s="472"/>
      <c r="X37" s="472"/>
      <c r="Y37" s="472"/>
      <c r="Z37" s="472"/>
      <c r="AA37" s="472"/>
      <c r="AB37" s="472"/>
      <c r="AC37" s="42"/>
      <c r="AD37" s="472" t="str">
        <f aca="false">IF(TITLE_NUMBER_PR_CHANGE="",IF(TITLE_NUMBER_PR="","",TITLE_NUMBER_PR),TITLE_NUMBER_PR_CHANGE)</f>
        <v>403-гвс, 404-гвс, 406-гвс</v>
      </c>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2"/>
      <c r="BB37" s="42"/>
      <c r="BC37" s="473"/>
      <c r="BD37" s="117"/>
      <c r="BE37" s="117"/>
      <c r="BF37" s="117"/>
      <c r="BG37" s="117"/>
      <c r="BH37" s="117"/>
    </row>
    <row r="38" s="174" customFormat="true" ht="12.8" hidden="false" customHeight="false" outlineLevel="0" collapsed="false">
      <c r="A38" s="139"/>
      <c r="B38" s="139"/>
      <c r="C38" s="139"/>
      <c r="D38" s="139"/>
      <c r="E38" s="139"/>
      <c r="F38" s="139"/>
      <c r="G38" s="139"/>
      <c r="H38" s="139"/>
      <c r="I38" s="139"/>
      <c r="J38" s="139"/>
      <c r="K38" s="139"/>
      <c r="L38" s="417"/>
      <c r="M38" s="139"/>
      <c r="N38" s="139"/>
      <c r="O38" s="139"/>
      <c r="P38" s="139"/>
      <c r="Q38" s="139"/>
      <c r="S38" s="42"/>
      <c r="T38" s="42"/>
      <c r="U38" s="127"/>
      <c r="V38" s="42"/>
      <c r="W38" s="42"/>
      <c r="X38" s="42"/>
      <c r="Y38" s="42"/>
      <c r="Z38" s="42"/>
      <c r="AA38" s="42"/>
      <c r="AB38" s="42"/>
      <c r="AC38" s="47" t="s">
        <v>441</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7" t="s">
        <v>441</v>
      </c>
      <c r="BD38" s="117"/>
      <c r="BE38" s="117"/>
      <c r="BF38" s="117"/>
      <c r="BG38" s="117"/>
      <c r="BH38" s="117"/>
    </row>
    <row r="39" customFormat="false" ht="14.25" hidden="false" customHeight="true" outlineLevel="0" collapsed="false">
      <c r="Q39" s="551"/>
      <c r="R39" s="467"/>
      <c r="S39" s="468"/>
      <c r="T39" s="79"/>
      <c r="U39" s="475"/>
      <c r="V39" s="476"/>
      <c r="W39" s="476"/>
      <c r="X39" s="476"/>
      <c r="Y39" s="476"/>
      <c r="Z39" s="476"/>
      <c r="AA39" s="476"/>
      <c r="AB39" s="476"/>
      <c r="AC39" s="476"/>
      <c r="AD39" s="476"/>
      <c r="AE39" s="476"/>
      <c r="AF39" s="476"/>
      <c r="AG39" s="476"/>
      <c r="AH39" s="476"/>
      <c r="AI39" s="476"/>
      <c r="AJ39" s="476"/>
      <c r="AK39" s="476"/>
      <c r="AL39" s="476"/>
      <c r="AM39" s="476"/>
      <c r="AN39" s="476"/>
      <c r="AO39" s="476"/>
      <c r="AP39" s="476"/>
      <c r="AQ39" s="476"/>
      <c r="AR39" s="476"/>
      <c r="AS39" s="476"/>
      <c r="AT39" s="476"/>
      <c r="AU39" s="476"/>
      <c r="AV39" s="476"/>
      <c r="AW39" s="476"/>
      <c r="AX39" s="476"/>
      <c r="AY39" s="476"/>
      <c r="AZ39" s="476"/>
      <c r="BA39" s="476"/>
    </row>
    <row r="40" customFormat="false" ht="14.25" hidden="false" customHeight="true" outlineLevel="0" collapsed="false">
      <c r="Q40" s="551"/>
      <c r="R40" s="467"/>
      <c r="S40" s="133" t="s">
        <v>316</v>
      </c>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t="s">
        <v>317</v>
      </c>
    </row>
    <row r="41" customFormat="false" ht="14.25" hidden="false" customHeight="true" outlineLevel="0" collapsed="false">
      <c r="Q41" s="551"/>
      <c r="R41" s="467"/>
      <c r="S41" s="419" t="s">
        <v>84</v>
      </c>
      <c r="T41" s="394" t="s">
        <v>521</v>
      </c>
      <c r="U41" s="478"/>
      <c r="V41" s="300" t="s">
        <v>443</v>
      </c>
      <c r="W41" s="300"/>
      <c r="X41" s="300"/>
      <c r="Y41" s="300"/>
      <c r="Z41" s="300"/>
      <c r="AA41" s="300"/>
      <c r="AB41" s="300"/>
      <c r="AC41" s="394" t="s">
        <v>444</v>
      </c>
      <c r="AD41" s="300" t="s">
        <v>522</v>
      </c>
      <c r="AE41" s="300"/>
      <c r="AF41" s="300"/>
      <c r="AG41" s="300"/>
      <c r="AH41" s="300" t="s">
        <v>523</v>
      </c>
      <c r="AI41" s="300"/>
      <c r="AJ41" s="300"/>
      <c r="AK41" s="300"/>
      <c r="AL41" s="300" t="s">
        <v>524</v>
      </c>
      <c r="AM41" s="300"/>
      <c r="AN41" s="300"/>
      <c r="AO41" s="300"/>
      <c r="AP41" s="300" t="s">
        <v>525</v>
      </c>
      <c r="AQ41" s="300"/>
      <c r="AR41" s="300"/>
      <c r="AS41" s="300"/>
      <c r="AT41" s="300" t="s">
        <v>443</v>
      </c>
      <c r="AU41" s="300"/>
      <c r="AV41" s="300"/>
      <c r="AW41" s="300"/>
      <c r="AX41" s="300"/>
      <c r="AY41" s="300"/>
      <c r="AZ41" s="300"/>
      <c r="BA41" s="394" t="s">
        <v>444</v>
      </c>
      <c r="BB41" s="479" t="s">
        <v>446</v>
      </c>
      <c r="BC41" s="133"/>
    </row>
    <row r="42" customFormat="false" ht="33.75" hidden="false" customHeight="true" outlineLevel="0" collapsed="false">
      <c r="Q42" s="551"/>
      <c r="R42" s="467"/>
      <c r="S42" s="419"/>
      <c r="T42" s="394"/>
      <c r="U42" s="480"/>
      <c r="V42" s="133" t="s">
        <v>526</v>
      </c>
      <c r="W42" s="133"/>
      <c r="X42" s="133" t="s">
        <v>527</v>
      </c>
      <c r="Y42" s="133"/>
      <c r="Z42" s="133" t="s">
        <v>528</v>
      </c>
      <c r="AA42" s="133"/>
      <c r="AB42" s="133"/>
      <c r="AC42" s="394"/>
      <c r="AD42" s="300"/>
      <c r="AE42" s="300"/>
      <c r="AF42" s="300"/>
      <c r="AG42" s="300"/>
      <c r="AH42" s="300"/>
      <c r="AI42" s="300"/>
      <c r="AJ42" s="300"/>
      <c r="AK42" s="300"/>
      <c r="AL42" s="300"/>
      <c r="AM42" s="300"/>
      <c r="AN42" s="300"/>
      <c r="AO42" s="300"/>
      <c r="AP42" s="300"/>
      <c r="AQ42" s="300"/>
      <c r="AR42" s="300"/>
      <c r="AS42" s="300"/>
      <c r="AT42" s="133" t="s">
        <v>526</v>
      </c>
      <c r="AU42" s="133"/>
      <c r="AV42" s="133" t="s">
        <v>527</v>
      </c>
      <c r="AW42" s="133"/>
      <c r="AX42" s="133" t="s">
        <v>528</v>
      </c>
      <c r="AY42" s="133"/>
      <c r="AZ42" s="133"/>
      <c r="BA42" s="394"/>
      <c r="BB42" s="479"/>
      <c r="BC42" s="133"/>
    </row>
    <row r="43" customFormat="false" ht="14.25" hidden="false" customHeight="true" outlineLevel="0" collapsed="false">
      <c r="Q43" s="551"/>
      <c r="R43" s="467"/>
      <c r="S43" s="419"/>
      <c r="T43" s="394"/>
      <c r="U43" s="480"/>
      <c r="V43" s="133"/>
      <c r="W43" s="133"/>
      <c r="X43" s="133"/>
      <c r="Y43" s="133"/>
      <c r="Z43" s="133"/>
      <c r="AA43" s="133"/>
      <c r="AB43" s="133"/>
      <c r="AC43" s="394"/>
      <c r="AD43" s="300"/>
      <c r="AE43" s="300"/>
      <c r="AF43" s="300"/>
      <c r="AG43" s="300"/>
      <c r="AH43" s="300"/>
      <c r="AI43" s="300"/>
      <c r="AJ43" s="300"/>
      <c r="AK43" s="300"/>
      <c r="AL43" s="300"/>
      <c r="AM43" s="300"/>
      <c r="AN43" s="300"/>
      <c r="AO43" s="300"/>
      <c r="AP43" s="300"/>
      <c r="AQ43" s="300"/>
      <c r="AR43" s="300"/>
      <c r="AS43" s="300"/>
      <c r="AT43" s="133"/>
      <c r="AU43" s="133"/>
      <c r="AV43" s="133"/>
      <c r="AW43" s="133"/>
      <c r="AX43" s="133"/>
      <c r="AY43" s="133"/>
      <c r="AZ43" s="133"/>
      <c r="BA43" s="394"/>
      <c r="BB43" s="479"/>
      <c r="BC43" s="133"/>
    </row>
    <row r="44" customFormat="false" ht="14.25" hidden="false" customHeight="true" outlineLevel="0" collapsed="false">
      <c r="A44" s="139"/>
      <c r="B44" s="139" t="s">
        <v>142</v>
      </c>
      <c r="C44" s="139" t="s">
        <v>143</v>
      </c>
      <c r="D44" s="139" t="s">
        <v>144</v>
      </c>
      <c r="E44" s="417" t="s">
        <v>451</v>
      </c>
      <c r="F44" s="417" t="s">
        <v>452</v>
      </c>
      <c r="G44" s="417" t="s">
        <v>453</v>
      </c>
      <c r="H44" s="417" t="s">
        <v>454</v>
      </c>
      <c r="I44" s="417" t="s">
        <v>455</v>
      </c>
      <c r="J44" s="417" t="s">
        <v>456</v>
      </c>
      <c r="K44" s="417" t="s">
        <v>457</v>
      </c>
      <c r="L44" s="417" t="s">
        <v>432</v>
      </c>
      <c r="Q44" s="551"/>
      <c r="R44" s="467"/>
      <c r="S44" s="419"/>
      <c r="T44" s="394"/>
      <c r="U44" s="481"/>
      <c r="V44" s="394" t="s">
        <v>492</v>
      </c>
      <c r="W44" s="394" t="s">
        <v>493</v>
      </c>
      <c r="X44" s="394" t="s">
        <v>492</v>
      </c>
      <c r="Y44" s="394" t="s">
        <v>493</v>
      </c>
      <c r="Z44" s="184" t="s">
        <v>460</v>
      </c>
      <c r="AA44" s="184" t="s">
        <v>461</v>
      </c>
      <c r="AB44" s="184"/>
      <c r="AC44" s="394"/>
      <c r="AD44" s="300"/>
      <c r="AE44" s="300"/>
      <c r="AF44" s="300"/>
      <c r="AG44" s="300"/>
      <c r="AH44" s="300"/>
      <c r="AI44" s="300"/>
      <c r="AJ44" s="300"/>
      <c r="AK44" s="300"/>
      <c r="AL44" s="300"/>
      <c r="AM44" s="300"/>
      <c r="AN44" s="300"/>
      <c r="AO44" s="300"/>
      <c r="AP44" s="300"/>
      <c r="AQ44" s="300"/>
      <c r="AR44" s="300"/>
      <c r="AS44" s="300"/>
      <c r="AT44" s="394" t="s">
        <v>492</v>
      </c>
      <c r="AU44" s="394" t="s">
        <v>493</v>
      </c>
      <c r="AV44" s="394" t="s">
        <v>492</v>
      </c>
      <c r="AW44" s="394" t="s">
        <v>493</v>
      </c>
      <c r="AX44" s="184" t="s">
        <v>460</v>
      </c>
      <c r="AY44" s="184" t="s">
        <v>461</v>
      </c>
      <c r="AZ44" s="184"/>
      <c r="BA44" s="394"/>
      <c r="BB44" s="479"/>
      <c r="BC44" s="133"/>
    </row>
    <row r="45" s="119" customFormat="true" ht="12.8" hidden="false" customHeight="false" outlineLevel="0" collapsed="false">
      <c r="A45" s="139"/>
      <c r="B45" s="139"/>
      <c r="C45" s="139"/>
      <c r="D45" s="139"/>
      <c r="E45" s="139"/>
      <c r="F45" s="139"/>
      <c r="G45" s="139"/>
      <c r="H45" s="139"/>
      <c r="I45" s="139"/>
      <c r="J45" s="139"/>
      <c r="K45" s="139"/>
      <c r="L45" s="417"/>
      <c r="M45" s="51"/>
      <c r="N45" s="51"/>
      <c r="O45" s="51"/>
      <c r="P45" s="510"/>
      <c r="Q45" s="484"/>
      <c r="R45" s="484" t="n">
        <v>1</v>
      </c>
      <c r="S45" s="485" t="s">
        <v>117</v>
      </c>
      <c r="T45" s="486" t="s">
        <v>99</v>
      </c>
      <c r="U45" s="487" t="str">
        <f aca="true">OFFSET(U45,0,-1)</f>
        <v>2</v>
      </c>
      <c r="V45" s="488" t="n">
        <f aca="true">OFFSET(V45,0,-1)+1</f>
        <v>3</v>
      </c>
      <c r="W45" s="488" t="n">
        <f aca="true">OFFSET(W45,0,-1)+1</f>
        <v>4</v>
      </c>
      <c r="X45" s="488" t="n">
        <f aca="true">OFFSET(X45,0,-1)+1</f>
        <v>5</v>
      </c>
      <c r="Y45" s="488" t="n">
        <f aca="true">OFFSET(Y45,0,-1)+1</f>
        <v>6</v>
      </c>
      <c r="Z45" s="488" t="n">
        <f aca="true">OFFSET(Z45,0,-1)+1</f>
        <v>7</v>
      </c>
      <c r="AA45" s="488" t="n">
        <f aca="true">OFFSET(AA45,0,-1)+1</f>
        <v>8</v>
      </c>
      <c r="AB45" s="488"/>
      <c r="AC45" s="488" t="n">
        <f aca="true">OFFSET(AC45,0,-2)+1</f>
        <v>9</v>
      </c>
      <c r="AD45" s="488" t="n">
        <f aca="true">OFFSET(AD45,0,-1)+1</f>
        <v>10</v>
      </c>
      <c r="AE45" s="488"/>
      <c r="AF45" s="488"/>
      <c r="AG45" s="488"/>
      <c r="AH45" s="488"/>
      <c r="AI45" s="488"/>
      <c r="AJ45" s="488"/>
      <c r="AK45" s="488"/>
      <c r="AL45" s="488"/>
      <c r="AM45" s="488"/>
      <c r="AN45" s="488"/>
      <c r="AO45" s="488"/>
      <c r="AP45" s="488"/>
      <c r="AQ45" s="488"/>
      <c r="AR45" s="488"/>
      <c r="AS45" s="488"/>
      <c r="AT45" s="488"/>
      <c r="AU45" s="488"/>
      <c r="AV45" s="488"/>
      <c r="AW45" s="488" t="n">
        <f aca="true">OFFSET(AW45,0,-1)+1</f>
        <v>1</v>
      </c>
      <c r="AX45" s="488" t="n">
        <f aca="true">OFFSET(AX45,0,-1)+1</f>
        <v>2</v>
      </c>
      <c r="AY45" s="488" t="n">
        <f aca="true">OFFSET(AY45,0,-1)+1</f>
        <v>3</v>
      </c>
      <c r="AZ45" s="488"/>
      <c r="BA45" s="488" t="n">
        <f aca="true">OFFSET(BA45,0,-2)+1</f>
        <v>4</v>
      </c>
      <c r="BB45" s="487" t="n">
        <f aca="true">OFFSET(BB45,0,-1)</f>
        <v>4</v>
      </c>
      <c r="BC45" s="488" t="n">
        <f aca="true">OFFSET(BC45,0,-1)+1</f>
        <v>5</v>
      </c>
      <c r="BD45" s="47"/>
      <c r="BE45" s="47"/>
      <c r="BF45" s="47"/>
      <c r="BG45" s="47"/>
      <c r="BH45" s="47"/>
    </row>
    <row r="46" customFormat="false" ht="21" hidden="false" customHeight="true" outlineLevel="0" collapsed="false">
      <c r="A46" s="415" t="s">
        <v>277</v>
      </c>
      <c r="B46" s="415"/>
      <c r="C46" s="415"/>
      <c r="D46" s="415"/>
      <c r="E46" s="416" t="n">
        <v>1</v>
      </c>
      <c r="F46" s="415"/>
      <c r="G46" s="415"/>
      <c r="H46" s="415"/>
      <c r="I46" s="415"/>
      <c r="J46" s="415"/>
      <c r="K46" s="415"/>
      <c r="L46" s="417"/>
      <c r="M46" s="40"/>
      <c r="N46" s="40"/>
      <c r="O46" s="40"/>
      <c r="Q46" s="54"/>
      <c r="R46" s="418"/>
      <c r="S46" s="419" t="n">
        <f aca="false">INDEX(PT_DIFFERENTIATION_NUM_NTAR,MATCH(A46,PT_DIFFERENTIATION_NTAR_ID,0))</f>
        <v>0</v>
      </c>
      <c r="T46" s="420" t="s">
        <v>130</v>
      </c>
      <c r="U46" s="421"/>
      <c r="V46" s="523"/>
      <c r="W46" s="523"/>
      <c r="X46" s="523"/>
      <c r="Y46" s="523"/>
      <c r="Z46" s="523"/>
      <c r="AA46" s="523"/>
      <c r="AB46" s="523"/>
      <c r="AC46" s="523"/>
      <c r="AD46" s="423" t="str">
        <f aca="false">INDEX(PT_DIFFERENTIATION_NTAR,MATCH(A46,PT_DIFFERENTIATION_NTAR_ID,0))</f>
        <v/>
      </c>
      <c r="AE46" s="423"/>
      <c r="AF46" s="423"/>
      <c r="AG46" s="423"/>
      <c r="AH46" s="423"/>
      <c r="AI46" s="423"/>
      <c r="AJ46" s="423"/>
      <c r="AK46" s="423"/>
      <c r="AL46" s="423"/>
      <c r="AM46" s="423"/>
      <c r="AN46" s="423"/>
      <c r="AO46" s="423"/>
      <c r="AP46" s="423"/>
      <c r="AQ46" s="423"/>
      <c r="AR46" s="423"/>
      <c r="AS46" s="423"/>
      <c r="AT46" s="423"/>
      <c r="AU46" s="423"/>
      <c r="AV46" s="423"/>
      <c r="AW46" s="423"/>
      <c r="AX46" s="423"/>
      <c r="AY46" s="423"/>
      <c r="AZ46" s="423"/>
      <c r="BA46" s="423"/>
      <c r="BB46" s="423"/>
      <c r="BC46" s="42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7"/>
      <c r="BF46" s="117" t="str">
        <f aca="false">IF(T46="","",T46)</f>
        <v>Наименование тарифа</v>
      </c>
      <c r="BG46" s="117"/>
      <c r="BH46" s="117"/>
    </row>
    <row r="47" customFormat="false" ht="21" hidden="false" customHeight="true" outlineLevel="0" collapsed="false">
      <c r="A47" s="415" t="s">
        <v>277</v>
      </c>
      <c r="B47" s="415" t="s">
        <v>278</v>
      </c>
      <c r="C47" s="415"/>
      <c r="D47" s="415"/>
      <c r="E47" s="416"/>
      <c r="F47" s="416" t="n">
        <v>1</v>
      </c>
      <c r="G47" s="415"/>
      <c r="H47" s="415"/>
      <c r="I47" s="415"/>
      <c r="J47" s="415"/>
      <c r="K47" s="415"/>
      <c r="L47" s="417"/>
      <c r="M47" s="40"/>
      <c r="N47" s="40"/>
      <c r="O47" s="40"/>
      <c r="P47" s="44"/>
      <c r="Q47" s="524"/>
      <c r="R47" s="426"/>
      <c r="S47" s="419" t="str">
        <f aca="false">INDEX(PT_DIFFERENTIATION_NUM_TER,MATCH(B47,PT_DIFFERENTIATION_TER_ID,0))</f>
        <v>.</v>
      </c>
      <c r="T47" s="427" t="s">
        <v>413</v>
      </c>
      <c r="U47" s="421"/>
      <c r="V47" s="523"/>
      <c r="W47" s="523"/>
      <c r="X47" s="523"/>
      <c r="Y47" s="523"/>
      <c r="Z47" s="523"/>
      <c r="AA47" s="523"/>
      <c r="AB47" s="523"/>
      <c r="AC47" s="523"/>
      <c r="AD47" s="423" t="str">
        <f aca="false">INDEX(PT_DIFFERENTIATION_TER,MATCH(B47,PT_DIFFERENTIATION_TER_ID,0))</f>
        <v/>
      </c>
      <c r="AE47" s="423"/>
      <c r="AF47" s="423"/>
      <c r="AG47" s="423"/>
      <c r="AH47" s="423"/>
      <c r="AI47" s="423"/>
      <c r="AJ47" s="423"/>
      <c r="AK47" s="423"/>
      <c r="AL47" s="423"/>
      <c r="AM47" s="423"/>
      <c r="AN47" s="423"/>
      <c r="AO47" s="423"/>
      <c r="AP47" s="423"/>
      <c r="AQ47" s="423"/>
      <c r="AR47" s="423"/>
      <c r="AS47" s="423"/>
      <c r="AT47" s="423"/>
      <c r="AU47" s="423"/>
      <c r="AV47" s="423"/>
      <c r="AW47" s="423"/>
      <c r="AX47" s="423"/>
      <c r="AY47" s="423"/>
      <c r="AZ47" s="423"/>
      <c r="BA47" s="423"/>
      <c r="BB47" s="423"/>
      <c r="BC47" s="424" t="s">
        <v>414</v>
      </c>
      <c r="BE47" s="117"/>
      <c r="BF47" s="117" t="str">
        <f aca="false">IF(T47="","",T47)</f>
        <v>Территория действия тарифа</v>
      </c>
      <c r="BG47" s="117"/>
      <c r="BH47" s="117"/>
    </row>
    <row r="48" customFormat="false" ht="33.75" hidden="false" customHeight="true" outlineLevel="0" collapsed="false">
      <c r="A48" s="415" t="s">
        <v>277</v>
      </c>
      <c r="B48" s="415" t="s">
        <v>278</v>
      </c>
      <c r="C48" s="415" t="s">
        <v>279</v>
      </c>
      <c r="D48" s="415"/>
      <c r="E48" s="416"/>
      <c r="F48" s="416"/>
      <c r="G48" s="416" t="n">
        <v>1</v>
      </c>
      <c r="H48" s="415"/>
      <c r="I48" s="415"/>
      <c r="J48" s="415"/>
      <c r="K48" s="415"/>
      <c r="L48" s="417"/>
      <c r="M48" s="40"/>
      <c r="N48" s="40"/>
      <c r="O48" s="40"/>
      <c r="P48" s="126"/>
      <c r="Q48" s="524"/>
      <c r="R48" s="426"/>
      <c r="S48" s="419" t="str">
        <f aca="false">INDEX(PT_DIFFERENTIATION_NUM_CS,MATCH(C48,PT_DIFFERENTIATION_CS_ID,0))</f>
        <v>..</v>
      </c>
      <c r="T48" s="429" t="s">
        <v>544</v>
      </c>
      <c r="U48" s="421"/>
      <c r="V48" s="523"/>
      <c r="W48" s="523"/>
      <c r="X48" s="523"/>
      <c r="Y48" s="523"/>
      <c r="Z48" s="523"/>
      <c r="AA48" s="523"/>
      <c r="AB48" s="523"/>
      <c r="AC48" s="523"/>
      <c r="AD48" s="423" t="str">
        <f aca="false">INDEX(PT_DIFFERENTIATION_CS,MATCH(C48,PT_DIFFERENTIATION_CS_ID,0))</f>
        <v/>
      </c>
      <c r="AE48" s="423"/>
      <c r="AF48" s="423"/>
      <c r="AG48" s="423"/>
      <c r="AH48" s="423"/>
      <c r="AI48" s="423"/>
      <c r="AJ48" s="423"/>
      <c r="AK48" s="423"/>
      <c r="AL48" s="423"/>
      <c r="AM48" s="423"/>
      <c r="AN48" s="423"/>
      <c r="AO48" s="423"/>
      <c r="AP48" s="423"/>
      <c r="AQ48" s="423"/>
      <c r="AR48" s="423"/>
      <c r="AS48" s="423"/>
      <c r="AT48" s="423"/>
      <c r="AU48" s="423"/>
      <c r="AV48" s="423"/>
      <c r="AW48" s="423"/>
      <c r="AX48" s="423"/>
      <c r="AY48" s="423"/>
      <c r="AZ48" s="423"/>
      <c r="BA48" s="423"/>
      <c r="BB48" s="423"/>
      <c r="BC48" s="424" t="s">
        <v>545</v>
      </c>
      <c r="BE48" s="117"/>
      <c r="BF48" s="117" t="str">
        <f aca="false">IF(T48="","",T48)</f>
        <v>Наименование централизованной системы горячего водоснабжения</v>
      </c>
      <c r="BG48" s="117"/>
      <c r="BH48" s="117"/>
    </row>
    <row r="49" s="47" customFormat="true" ht="12.8" hidden="false" customHeight="false" outlineLevel="0" collapsed="false">
      <c r="A49" s="121" t="s">
        <v>277</v>
      </c>
      <c r="B49" s="121" t="s">
        <v>278</v>
      </c>
      <c r="C49" s="121" t="s">
        <v>279</v>
      </c>
      <c r="D49" s="121" t="s">
        <v>565</v>
      </c>
      <c r="E49" s="416"/>
      <c r="F49" s="416"/>
      <c r="G49" s="416"/>
      <c r="H49" s="416" t="n">
        <v>1</v>
      </c>
      <c r="I49" s="121"/>
      <c r="J49" s="121"/>
      <c r="K49" s="121"/>
      <c r="L49" s="191"/>
      <c r="M49" s="46"/>
      <c r="N49" s="46"/>
      <c r="O49" s="46"/>
      <c r="P49" s="581"/>
      <c r="Q49" s="582"/>
      <c r="R49" s="435"/>
      <c r="S49" s="305"/>
      <c r="T49" s="583"/>
      <c r="U49" s="503"/>
      <c r="V49" s="525"/>
      <c r="W49" s="525"/>
      <c r="X49" s="525"/>
      <c r="Y49" s="525"/>
      <c r="Z49" s="525"/>
      <c r="AA49" s="525"/>
      <c r="AB49" s="525"/>
      <c r="AC49" s="525"/>
      <c r="AD49" s="504"/>
      <c r="AE49" s="504"/>
      <c r="AF49" s="504"/>
      <c r="AG49" s="504"/>
      <c r="AH49" s="504"/>
      <c r="AI49" s="504"/>
      <c r="AJ49" s="504"/>
      <c r="AK49" s="504"/>
      <c r="AL49" s="504"/>
      <c r="AM49" s="504"/>
      <c r="AN49" s="504"/>
      <c r="AO49" s="504"/>
      <c r="AP49" s="504"/>
      <c r="AQ49" s="504"/>
      <c r="AR49" s="504"/>
      <c r="AS49" s="504"/>
      <c r="AT49" s="504"/>
      <c r="AU49" s="504"/>
      <c r="AV49" s="504"/>
      <c r="AW49" s="504"/>
      <c r="AX49" s="504"/>
      <c r="AY49" s="504"/>
      <c r="AZ49" s="504"/>
      <c r="BA49" s="504"/>
      <c r="BB49" s="504"/>
      <c r="BC49" s="505" t="s">
        <v>418</v>
      </c>
      <c r="BE49" s="117"/>
      <c r="BF49" s="117" t="str">
        <f aca="false">IF(T49="","",T49)</f>
        <v/>
      </c>
      <c r="BG49" s="117"/>
      <c r="BH49" s="117"/>
    </row>
    <row r="50" s="47" customFormat="true" ht="12.8" hidden="false" customHeight="false" outlineLevel="0" collapsed="false">
      <c r="A50" s="121" t="s">
        <v>277</v>
      </c>
      <c r="B50" s="121" t="s">
        <v>278</v>
      </c>
      <c r="C50" s="121" t="s">
        <v>279</v>
      </c>
      <c r="D50" s="121" t="s">
        <v>565</v>
      </c>
      <c r="E50" s="416"/>
      <c r="F50" s="416"/>
      <c r="G50" s="416"/>
      <c r="H50" s="416"/>
      <c r="I50" s="431" t="str">
        <f aca="false">S49&amp;".1"</f>
        <v>.1</v>
      </c>
      <c r="J50" s="121"/>
      <c r="K50" s="121"/>
      <c r="L50" s="191" t="s">
        <v>419</v>
      </c>
      <c r="M50" s="510"/>
      <c r="N50" s="510"/>
      <c r="O50" s="510"/>
      <c r="P50" s="120" t="n">
        <v>1</v>
      </c>
      <c r="Q50" s="120"/>
      <c r="R50" s="432"/>
      <c r="S50" s="305"/>
      <c r="T50" s="502"/>
      <c r="U50" s="503"/>
      <c r="V50" s="525"/>
      <c r="W50" s="525"/>
      <c r="X50" s="525"/>
      <c r="Y50" s="525"/>
      <c r="Z50" s="525"/>
      <c r="AA50" s="525"/>
      <c r="AB50" s="525"/>
      <c r="AC50" s="525"/>
      <c r="AD50" s="504"/>
      <c r="AE50" s="504"/>
      <c r="AF50" s="504"/>
      <c r="AG50" s="504"/>
      <c r="AH50" s="504"/>
      <c r="AI50" s="504"/>
      <c r="AJ50" s="504"/>
      <c r="AK50" s="504"/>
      <c r="AL50" s="504"/>
      <c r="AM50" s="504"/>
      <c r="AN50" s="504"/>
      <c r="AO50" s="504"/>
      <c r="AP50" s="504"/>
      <c r="AQ50" s="504"/>
      <c r="AR50" s="504"/>
      <c r="AS50" s="504"/>
      <c r="AT50" s="504"/>
      <c r="AU50" s="504"/>
      <c r="AV50" s="504"/>
      <c r="AW50" s="504"/>
      <c r="AX50" s="504"/>
      <c r="AY50" s="504"/>
      <c r="AZ50" s="504"/>
      <c r="BA50" s="504"/>
      <c r="BB50" s="504"/>
      <c r="BC50" s="505"/>
      <c r="BE50" s="117"/>
      <c r="BF50" s="117" t="str">
        <f aca="false">IF(T50="","",T50)</f>
        <v/>
      </c>
      <c r="BG50" s="117"/>
      <c r="BH50" s="117"/>
    </row>
    <row r="51" s="47" customFormat="true" ht="12.8" hidden="false" customHeight="false" outlineLevel="0" collapsed="false">
      <c r="A51" s="121" t="s">
        <v>277</v>
      </c>
      <c r="B51" s="121" t="s">
        <v>278</v>
      </c>
      <c r="C51" s="121" t="s">
        <v>279</v>
      </c>
      <c r="D51" s="121" t="s">
        <v>565</v>
      </c>
      <c r="E51" s="416"/>
      <c r="F51" s="416"/>
      <c r="G51" s="416"/>
      <c r="H51" s="416"/>
      <c r="I51" s="431"/>
      <c r="J51" s="431" t="str">
        <f aca="false">S49&amp;".1"</f>
        <v>.1</v>
      </c>
      <c r="K51" s="121"/>
      <c r="L51" s="191"/>
      <c r="M51" s="510"/>
      <c r="N51" s="510"/>
      <c r="O51" s="510"/>
      <c r="P51" s="120"/>
      <c r="Q51" s="120" t="n">
        <v>1</v>
      </c>
      <c r="R51" s="435"/>
      <c r="S51" s="305"/>
      <c r="T51" s="526"/>
      <c r="U51" s="503"/>
      <c r="V51" s="525"/>
      <c r="W51" s="525"/>
      <c r="X51" s="525"/>
      <c r="Y51" s="525"/>
      <c r="Z51" s="525"/>
      <c r="AA51" s="525"/>
      <c r="AB51" s="525"/>
      <c r="AC51" s="525"/>
      <c r="AD51" s="504"/>
      <c r="AE51" s="504"/>
      <c r="AF51" s="504"/>
      <c r="AG51" s="504"/>
      <c r="AH51" s="504"/>
      <c r="AI51" s="504"/>
      <c r="AJ51" s="504"/>
      <c r="AK51" s="504"/>
      <c r="AL51" s="504"/>
      <c r="AM51" s="504"/>
      <c r="AN51" s="504"/>
      <c r="AO51" s="504"/>
      <c r="AP51" s="504"/>
      <c r="AQ51" s="504"/>
      <c r="AR51" s="504"/>
      <c r="AS51" s="504"/>
      <c r="AT51" s="504"/>
      <c r="AU51" s="504"/>
      <c r="AV51" s="504"/>
      <c r="AW51" s="504"/>
      <c r="AX51" s="504"/>
      <c r="AY51" s="504"/>
      <c r="AZ51" s="504"/>
      <c r="BA51" s="504"/>
      <c r="BB51" s="504"/>
      <c r="BC51" s="505"/>
      <c r="BE51" s="117"/>
      <c r="BF51" s="117" t="str">
        <f aca="false">IF(T51="","",T51)</f>
        <v/>
      </c>
      <c r="BG51" s="117"/>
      <c r="BH51" s="117"/>
    </row>
    <row r="52" customFormat="false" ht="11.25" hidden="false" customHeight="true" outlineLevel="0" collapsed="false">
      <c r="A52" s="415" t="s">
        <v>277</v>
      </c>
      <c r="B52" s="415" t="s">
        <v>278</v>
      </c>
      <c r="C52" s="415" t="s">
        <v>279</v>
      </c>
      <c r="D52" s="415" t="s">
        <v>565</v>
      </c>
      <c r="E52" s="416"/>
      <c r="F52" s="416"/>
      <c r="G52" s="416"/>
      <c r="H52" s="416"/>
      <c r="I52" s="431"/>
      <c r="J52" s="431"/>
      <c r="K52" s="431" t="str">
        <f aca="false">S48&amp;".1"</f>
        <v>...1</v>
      </c>
      <c r="L52" s="417"/>
      <c r="P52" s="120"/>
      <c r="Q52" s="120"/>
      <c r="R52" s="435" t="n">
        <v>1</v>
      </c>
      <c r="S52" s="477" t="str">
        <f aca="false">$K52</f>
        <v>...1</v>
      </c>
      <c r="T52" s="562"/>
      <c r="U52" s="421"/>
      <c r="V52" s="438"/>
      <c r="W52" s="440"/>
      <c r="X52" s="438"/>
      <c r="Y52" s="440"/>
      <c r="Z52" s="441"/>
      <c r="AA52" s="203" t="s">
        <v>63</v>
      </c>
      <c r="AB52" s="441"/>
      <c r="AC52" s="203" t="s">
        <v>63</v>
      </c>
      <c r="AD52" s="203" t="s">
        <v>63</v>
      </c>
      <c r="AE52" s="529"/>
      <c r="AF52" s="301" t="n">
        <v>1</v>
      </c>
      <c r="AG52" s="580"/>
      <c r="AH52" s="203" t="s">
        <v>63</v>
      </c>
      <c r="AI52" s="529"/>
      <c r="AJ52" s="301" t="n">
        <v>1</v>
      </c>
      <c r="AK52" s="584"/>
      <c r="AL52" s="203" t="s">
        <v>63</v>
      </c>
      <c r="AM52" s="269"/>
      <c r="AN52" s="301" t="n">
        <v>1</v>
      </c>
      <c r="AO52" s="585"/>
      <c r="AP52" s="586" t="s">
        <v>63</v>
      </c>
      <c r="AQ52" s="530"/>
      <c r="AR52" s="301" t="n">
        <v>1</v>
      </c>
      <c r="AS52" s="83"/>
      <c r="AT52" s="438"/>
      <c r="AU52" s="440"/>
      <c r="AV52" s="438"/>
      <c r="AW52" s="440"/>
      <c r="AX52" s="441"/>
      <c r="AY52" s="203" t="s">
        <v>63</v>
      </c>
      <c r="AZ52" s="441"/>
      <c r="BA52" s="203" t="s">
        <v>63</v>
      </c>
      <c r="BB52" s="489"/>
      <c r="BC52" s="442" t="s">
        <v>515</v>
      </c>
      <c r="BE52" s="117"/>
      <c r="BF52" s="117" t="str">
        <f aca="false">IF(T52="","",T52)</f>
        <v/>
      </c>
      <c r="BG52" s="117"/>
      <c r="BH52" s="117"/>
    </row>
    <row r="53" customFormat="false" ht="11.25" hidden="false" customHeight="true" outlineLevel="0" collapsed="false">
      <c r="A53" s="415"/>
      <c r="B53" s="415"/>
      <c r="C53" s="415"/>
      <c r="D53" s="415"/>
      <c r="E53" s="416"/>
      <c r="F53" s="416"/>
      <c r="G53" s="416"/>
      <c r="H53" s="416"/>
      <c r="I53" s="431"/>
      <c r="J53" s="431"/>
      <c r="K53" s="431"/>
      <c r="L53" s="417"/>
      <c r="P53" s="120"/>
      <c r="Q53" s="120"/>
      <c r="R53" s="435"/>
      <c r="S53" s="477"/>
      <c r="T53" s="562"/>
      <c r="U53" s="421"/>
      <c r="V53" s="519"/>
      <c r="W53" s="533"/>
      <c r="X53" s="519"/>
      <c r="Y53" s="533"/>
      <c r="Z53" s="519"/>
      <c r="AA53" s="519"/>
      <c r="AB53" s="519"/>
      <c r="AC53" s="519"/>
      <c r="AD53" s="203"/>
      <c r="AE53" s="529"/>
      <c r="AF53" s="301"/>
      <c r="AG53" s="580"/>
      <c r="AH53" s="203"/>
      <c r="AI53" s="529"/>
      <c r="AJ53" s="301"/>
      <c r="AK53" s="584"/>
      <c r="AL53" s="203"/>
      <c r="AM53" s="269"/>
      <c r="AN53" s="301"/>
      <c r="AO53" s="585"/>
      <c r="AP53" s="586"/>
      <c r="AQ53" s="532"/>
      <c r="AR53" s="167"/>
      <c r="AS53" s="167" t="s">
        <v>516</v>
      </c>
      <c r="AT53" s="519"/>
      <c r="AU53" s="533"/>
      <c r="AV53" s="519"/>
      <c r="AW53" s="533"/>
      <c r="AX53" s="519"/>
      <c r="AY53" s="519"/>
      <c r="AZ53" s="519"/>
      <c r="BA53" s="519"/>
      <c r="BB53" s="531"/>
      <c r="BC53" s="442"/>
      <c r="BE53" s="117"/>
      <c r="BF53" s="117"/>
      <c r="BG53" s="117"/>
      <c r="BH53" s="117"/>
    </row>
    <row r="54" customFormat="false" ht="11.25" hidden="false" customHeight="true" outlineLevel="0" collapsed="false">
      <c r="A54" s="415" t="s">
        <v>277</v>
      </c>
      <c r="B54" s="415"/>
      <c r="C54" s="415"/>
      <c r="D54" s="415"/>
      <c r="E54" s="416"/>
      <c r="F54" s="416"/>
      <c r="G54" s="416"/>
      <c r="H54" s="416"/>
      <c r="I54" s="431"/>
      <c r="J54" s="431"/>
      <c r="K54" s="431"/>
      <c r="L54" s="417"/>
      <c r="P54" s="120"/>
      <c r="Q54" s="120"/>
      <c r="R54" s="435"/>
      <c r="S54" s="477"/>
      <c r="T54" s="562"/>
      <c r="U54" s="421"/>
      <c r="V54" s="519"/>
      <c r="W54" s="533"/>
      <c r="X54" s="519"/>
      <c r="Y54" s="533"/>
      <c r="Z54" s="519"/>
      <c r="AA54" s="519"/>
      <c r="AB54" s="519"/>
      <c r="AC54" s="519"/>
      <c r="AD54" s="203"/>
      <c r="AE54" s="529"/>
      <c r="AF54" s="301"/>
      <c r="AG54" s="580"/>
      <c r="AH54" s="203"/>
      <c r="AI54" s="529"/>
      <c r="AJ54" s="301"/>
      <c r="AK54" s="584"/>
      <c r="AL54" s="203"/>
      <c r="AM54" s="532"/>
      <c r="AN54" s="587"/>
      <c r="AO54" s="587" t="s">
        <v>517</v>
      </c>
      <c r="AP54" s="167"/>
      <c r="AQ54" s="167"/>
      <c r="AR54" s="167"/>
      <c r="AS54" s="519"/>
      <c r="AT54" s="519"/>
      <c r="AU54" s="533"/>
      <c r="AV54" s="519"/>
      <c r="AW54" s="533"/>
      <c r="AX54" s="519"/>
      <c r="AY54" s="519"/>
      <c r="AZ54" s="519"/>
      <c r="BA54" s="519"/>
      <c r="BB54" s="531"/>
      <c r="BC54" s="442"/>
      <c r="BE54" s="117"/>
      <c r="BF54" s="117"/>
      <c r="BG54" s="117"/>
      <c r="BH54" s="117"/>
    </row>
    <row r="55" customFormat="false" ht="11.25" hidden="false" customHeight="true" outlineLevel="0" collapsed="false">
      <c r="A55" s="415" t="s">
        <v>277</v>
      </c>
      <c r="B55" s="415"/>
      <c r="C55" s="415"/>
      <c r="D55" s="415"/>
      <c r="E55" s="416"/>
      <c r="F55" s="416"/>
      <c r="G55" s="416"/>
      <c r="H55" s="416"/>
      <c r="I55" s="431"/>
      <c r="J55" s="431"/>
      <c r="K55" s="431"/>
      <c r="L55" s="417"/>
      <c r="P55" s="120"/>
      <c r="Q55" s="120"/>
      <c r="R55" s="435"/>
      <c r="S55" s="477"/>
      <c r="T55" s="562"/>
      <c r="U55" s="421"/>
      <c r="V55" s="519"/>
      <c r="W55" s="533"/>
      <c r="X55" s="519"/>
      <c r="Y55" s="533"/>
      <c r="Z55" s="519"/>
      <c r="AA55" s="519"/>
      <c r="AB55" s="519"/>
      <c r="AC55" s="519"/>
      <c r="AD55" s="203"/>
      <c r="AE55" s="529"/>
      <c r="AF55" s="301"/>
      <c r="AG55" s="580"/>
      <c r="AH55" s="203"/>
      <c r="AI55" s="535"/>
      <c r="AJ55" s="160"/>
      <c r="AK55" s="382" t="s">
        <v>518</v>
      </c>
      <c r="AL55" s="519"/>
      <c r="AM55" s="519"/>
      <c r="AN55" s="519"/>
      <c r="AO55" s="519"/>
      <c r="AP55" s="519"/>
      <c r="AQ55" s="519"/>
      <c r="AR55" s="519"/>
      <c r="AS55" s="519"/>
      <c r="AT55" s="519"/>
      <c r="AU55" s="533"/>
      <c r="AV55" s="519"/>
      <c r="AW55" s="533"/>
      <c r="AX55" s="519"/>
      <c r="AY55" s="519"/>
      <c r="AZ55" s="519"/>
      <c r="BA55" s="519"/>
      <c r="BB55" s="531"/>
      <c r="BC55" s="442"/>
      <c r="BE55" s="117"/>
      <c r="BF55" s="117"/>
      <c r="BG55" s="117"/>
      <c r="BH55" s="117"/>
    </row>
    <row r="56" customFormat="false" ht="11.25" hidden="false" customHeight="true" outlineLevel="0" collapsed="false">
      <c r="A56" s="415" t="s">
        <v>277</v>
      </c>
      <c r="B56" s="415" t="s">
        <v>278</v>
      </c>
      <c r="C56" s="415" t="s">
        <v>279</v>
      </c>
      <c r="D56" s="415" t="s">
        <v>565</v>
      </c>
      <c r="E56" s="416"/>
      <c r="F56" s="416"/>
      <c r="G56" s="416"/>
      <c r="H56" s="416"/>
      <c r="I56" s="431"/>
      <c r="J56" s="431"/>
      <c r="K56" s="431"/>
      <c r="L56" s="417"/>
      <c r="P56" s="120"/>
      <c r="Q56" s="120"/>
      <c r="R56" s="435"/>
      <c r="S56" s="477"/>
      <c r="T56" s="562"/>
      <c r="U56" s="421"/>
      <c r="V56" s="519"/>
      <c r="W56" s="520" t="str">
        <f aca="false">Z52&amp;"-"&amp;AB52</f>
        <v>-</v>
      </c>
      <c r="X56" s="519"/>
      <c r="Y56" s="520" t="str">
        <f aca="false">AB52&amp;"-"&amp;AD52</f>
        <v>-да</v>
      </c>
      <c r="Z56" s="519"/>
      <c r="AA56" s="519"/>
      <c r="AB56" s="519"/>
      <c r="AC56" s="519"/>
      <c r="AD56" s="203"/>
      <c r="AE56" s="537"/>
      <c r="AF56" s="538"/>
      <c r="AG56" s="167" t="s">
        <v>519</v>
      </c>
      <c r="AH56" s="519"/>
      <c r="AI56" s="519"/>
      <c r="AJ56" s="519"/>
      <c r="AK56" s="519"/>
      <c r="AL56" s="519"/>
      <c r="AM56" s="519"/>
      <c r="AN56" s="519"/>
      <c r="AO56" s="519"/>
      <c r="AP56" s="519"/>
      <c r="AQ56" s="519"/>
      <c r="AR56" s="519"/>
      <c r="AS56" s="519"/>
      <c r="AT56" s="519"/>
      <c r="AU56" s="520" t="str">
        <f aca="false">AX52&amp;"-"&amp;AZ52</f>
        <v>-</v>
      </c>
      <c r="AV56" s="519"/>
      <c r="AW56" s="520" t="str">
        <f aca="false">AZ52&amp;"-"&amp;BB52</f>
        <v>-</v>
      </c>
      <c r="AX56" s="519"/>
      <c r="AY56" s="519"/>
      <c r="AZ56" s="519"/>
      <c r="BA56" s="519"/>
      <c r="BB56" s="536" t="str">
        <f aca="false">BE52&amp;"-"&amp;BG52</f>
        <v>-</v>
      </c>
      <c r="BC56" s="442"/>
      <c r="BE56" s="117"/>
      <c r="BF56" s="117" t="str">
        <f aca="false">IF(T56="","",T56)</f>
        <v/>
      </c>
      <c r="BG56" s="117"/>
      <c r="BH56" s="117"/>
    </row>
    <row r="57" customFormat="false" ht="11.25" hidden="false" customHeight="true" outlineLevel="0" collapsed="false">
      <c r="A57" s="415" t="s">
        <v>277</v>
      </c>
      <c r="B57" s="415" t="s">
        <v>278</v>
      </c>
      <c r="C57" s="415" t="s">
        <v>279</v>
      </c>
      <c r="D57" s="415" t="s">
        <v>565</v>
      </c>
      <c r="E57" s="416"/>
      <c r="F57" s="416"/>
      <c r="G57" s="416"/>
      <c r="H57" s="416"/>
      <c r="I57" s="431"/>
      <c r="J57" s="431"/>
      <c r="K57" s="415"/>
      <c r="L57" s="417"/>
      <c r="P57" s="120"/>
      <c r="Q57" s="120"/>
      <c r="R57" s="432"/>
      <c r="S57" s="444"/>
      <c r="T57" s="447" t="s">
        <v>481</v>
      </c>
      <c r="U57" s="193"/>
      <c r="V57" s="193"/>
      <c r="W57" s="193"/>
      <c r="X57" s="193"/>
      <c r="Y57" s="193"/>
      <c r="Z57" s="193"/>
      <c r="AA57" s="193"/>
      <c r="AB57" s="193"/>
      <c r="AC57" s="446"/>
      <c r="AD57" s="558"/>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446"/>
      <c r="BC57" s="442"/>
      <c r="BE57" s="117"/>
      <c r="BF57" s="117" t="str">
        <f aca="false">IF(T57="","",T57)</f>
        <v>Добавить строку</v>
      </c>
      <c r="BG57" s="117"/>
      <c r="BH57" s="117"/>
    </row>
    <row r="58" s="47" customFormat="true" ht="12.8" hidden="false" customHeight="false" outlineLevel="0" collapsed="false">
      <c r="A58" s="121" t="s">
        <v>277</v>
      </c>
      <c r="B58" s="121" t="s">
        <v>278</v>
      </c>
      <c r="C58" s="121" t="s">
        <v>279</v>
      </c>
      <c r="D58" s="121" t="s">
        <v>565</v>
      </c>
      <c r="E58" s="416"/>
      <c r="F58" s="416"/>
      <c r="G58" s="416"/>
      <c r="H58" s="416"/>
      <c r="I58" s="431"/>
      <c r="J58" s="121"/>
      <c r="K58" s="121"/>
      <c r="L58" s="191"/>
      <c r="M58" s="510"/>
      <c r="N58" s="510"/>
      <c r="O58" s="510"/>
      <c r="P58" s="120"/>
      <c r="Q58" s="120"/>
      <c r="R58" s="432"/>
      <c r="S58" s="506"/>
      <c r="T58" s="507"/>
      <c r="U58" s="508"/>
      <c r="V58" s="508"/>
      <c r="W58" s="508"/>
      <c r="X58" s="508"/>
      <c r="Y58" s="508"/>
      <c r="Z58" s="508"/>
      <c r="AA58" s="508"/>
      <c r="AB58" s="508"/>
      <c r="AC58" s="508"/>
      <c r="AD58" s="508"/>
      <c r="AE58" s="508"/>
      <c r="AF58" s="508"/>
      <c r="AG58" s="508"/>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9"/>
      <c r="BE58" s="117"/>
      <c r="BF58" s="117" t="str">
        <f aca="false">IF(T58="","",T58)</f>
        <v/>
      </c>
      <c r="BG58" s="117"/>
      <c r="BH58" s="117"/>
    </row>
    <row r="59" s="47" customFormat="true" ht="12.8" hidden="false" customHeight="false" outlineLevel="0" collapsed="false">
      <c r="A59" s="121" t="s">
        <v>277</v>
      </c>
      <c r="B59" s="121" t="s">
        <v>278</v>
      </c>
      <c r="C59" s="121" t="s">
        <v>279</v>
      </c>
      <c r="D59" s="121" t="s">
        <v>565</v>
      </c>
      <c r="E59" s="416"/>
      <c r="F59" s="416"/>
      <c r="G59" s="416"/>
      <c r="H59" s="416"/>
      <c r="I59" s="121"/>
      <c r="J59" s="121"/>
      <c r="K59" s="121"/>
      <c r="L59" s="191"/>
      <c r="M59" s="46"/>
      <c r="N59" s="46"/>
      <c r="P59" s="155"/>
      <c r="Q59" s="452"/>
      <c r="R59" s="539"/>
      <c r="S59" s="506"/>
      <c r="T59" s="507"/>
      <c r="U59" s="508"/>
      <c r="V59" s="508"/>
      <c r="W59" s="508"/>
      <c r="X59" s="508"/>
      <c r="Y59" s="508"/>
      <c r="Z59" s="508"/>
      <c r="AA59" s="508"/>
      <c r="AB59" s="508"/>
      <c r="AC59" s="508"/>
      <c r="AD59" s="508"/>
      <c r="AE59" s="508"/>
      <c r="AF59" s="508"/>
      <c r="AG59" s="508"/>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9"/>
      <c r="BE59" s="117"/>
      <c r="BF59" s="117" t="str">
        <f aca="false">IF(T59="","",T59)</f>
        <v/>
      </c>
      <c r="BG59" s="117"/>
      <c r="BH59" s="117"/>
    </row>
    <row r="60" s="47" customFormat="true" ht="12.8" hidden="false" customHeight="false" outlineLevel="0" collapsed="false">
      <c r="A60" s="121" t="s">
        <v>277</v>
      </c>
      <c r="B60" s="121" t="s">
        <v>278</v>
      </c>
      <c r="C60" s="121" t="s">
        <v>279</v>
      </c>
      <c r="D60" s="121"/>
      <c r="E60" s="416"/>
      <c r="F60" s="416"/>
      <c r="G60" s="416"/>
      <c r="H60" s="121"/>
      <c r="I60" s="121"/>
      <c r="J60" s="121"/>
      <c r="K60" s="121"/>
      <c r="L60" s="191"/>
      <c r="M60" s="46"/>
      <c r="N60" s="46"/>
      <c r="P60" s="155"/>
      <c r="Q60" s="452"/>
      <c r="R60" s="155"/>
      <c r="S60" s="457"/>
      <c r="T60" s="460"/>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59"/>
      <c r="AW60" s="459"/>
      <c r="AX60" s="459"/>
      <c r="AY60" s="459"/>
      <c r="AZ60" s="459"/>
      <c r="BA60" s="459"/>
      <c r="BB60" s="459"/>
      <c r="BC60" s="459"/>
      <c r="BE60" s="117"/>
      <c r="BF60" s="117" t="str">
        <f aca="false">IF(T60="","",T60)</f>
        <v/>
      </c>
      <c r="BG60" s="117"/>
      <c r="BH60" s="117"/>
    </row>
    <row r="61" s="47" customFormat="true" ht="12.8" hidden="false" customHeight="false" outlineLevel="0" collapsed="false">
      <c r="A61" s="121" t="s">
        <v>277</v>
      </c>
      <c r="B61" s="121" t="s">
        <v>278</v>
      </c>
      <c r="C61" s="121"/>
      <c r="D61" s="121"/>
      <c r="E61" s="416"/>
      <c r="F61" s="416"/>
      <c r="G61" s="121"/>
      <c r="H61" s="121"/>
      <c r="I61" s="121"/>
      <c r="J61" s="121"/>
      <c r="K61" s="121"/>
      <c r="L61" s="191"/>
      <c r="M61" s="456"/>
      <c r="N61" s="456"/>
      <c r="P61" s="155"/>
      <c r="Q61" s="452"/>
      <c r="R61" s="155"/>
      <c r="S61" s="457"/>
      <c r="T61" s="460" t="s">
        <v>261</v>
      </c>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59"/>
      <c r="AW61" s="459"/>
      <c r="AX61" s="459"/>
      <c r="AY61" s="459"/>
      <c r="AZ61" s="459"/>
      <c r="BA61" s="459"/>
      <c r="BB61" s="459"/>
      <c r="BC61" s="459"/>
      <c r="BE61" s="117"/>
      <c r="BF61" s="117" t="str">
        <f aca="false">IF(T61="","",T61)</f>
        <v>Добавить централизованную систему для дифференциации</v>
      </c>
      <c r="BG61" s="117"/>
      <c r="BH61" s="117"/>
    </row>
    <row r="62" s="47" customFormat="true" ht="12.8" hidden="false" customHeight="false" outlineLevel="0" collapsed="false">
      <c r="A62" s="121" t="s">
        <v>277</v>
      </c>
      <c r="B62" s="121"/>
      <c r="C62" s="121"/>
      <c r="D62" s="121"/>
      <c r="E62" s="416"/>
      <c r="F62" s="121"/>
      <c r="G62" s="121"/>
      <c r="H62" s="121"/>
      <c r="I62" s="121"/>
      <c r="J62" s="121"/>
      <c r="K62" s="121"/>
      <c r="L62" s="191"/>
      <c r="M62" s="456"/>
      <c r="N62" s="456"/>
      <c r="P62" s="155"/>
      <c r="Q62" s="452"/>
      <c r="R62" s="155"/>
      <c r="S62" s="457"/>
      <c r="T62" s="460" t="s">
        <v>268</v>
      </c>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459"/>
      <c r="BB62" s="459"/>
      <c r="BC62" s="459"/>
      <c r="BE62" s="117"/>
      <c r="BF62" s="117" t="str">
        <f aca="false">IF(T62="","",T62)</f>
        <v>Добавить территорию для дифференциации</v>
      </c>
      <c r="BG62" s="117"/>
      <c r="BH62" s="117"/>
    </row>
    <row r="63" s="47" customFormat="true" ht="12.8" hidden="false" customHeight="false" outlineLevel="0" collapsed="false">
      <c r="A63" s="121"/>
      <c r="B63" s="121"/>
      <c r="C63" s="121"/>
      <c r="D63" s="121"/>
      <c r="E63" s="121"/>
      <c r="F63" s="121"/>
      <c r="G63" s="121"/>
      <c r="H63" s="121"/>
      <c r="I63" s="121"/>
      <c r="J63" s="121"/>
      <c r="K63" s="121"/>
      <c r="L63" s="191"/>
      <c r="M63" s="456"/>
      <c r="N63" s="456"/>
      <c r="P63" s="155"/>
      <c r="Q63" s="452"/>
      <c r="R63" s="155"/>
      <c r="S63" s="457"/>
      <c r="T63" s="460" t="s">
        <v>269</v>
      </c>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459"/>
      <c r="AY63" s="459"/>
      <c r="AZ63" s="459"/>
      <c r="BA63" s="459"/>
      <c r="BB63" s="459"/>
      <c r="BC63" s="459"/>
      <c r="BE63" s="117"/>
      <c r="BF63" s="117" t="str">
        <f aca="false">IF(T63="","",T63)</f>
        <v>Добавить наименование тарифа</v>
      </c>
      <c r="BG63" s="117"/>
      <c r="BH63" s="117"/>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12"/>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491"/>
      <c r="AY65" s="491"/>
      <c r="AZ65" s="491"/>
      <c r="BA65" s="491"/>
      <c r="BB65" s="491"/>
      <c r="BC65" s="491"/>
    </row>
    <row r="66" customFormat="false" ht="14.25" hidden="false" customHeight="true" outlineLevel="0" collapsed="false">
      <c r="O66" s="45"/>
      <c r="T66" s="491"/>
      <c r="U66" s="491"/>
      <c r="V66" s="491"/>
      <c r="W66" s="491"/>
      <c r="X66" s="491"/>
      <c r="Y66" s="491"/>
      <c r="Z66" s="491"/>
      <c r="AA66" s="491"/>
      <c r="AB66" s="491"/>
      <c r="AC66" s="491"/>
      <c r="AD66" s="491"/>
      <c r="AE66" s="491"/>
      <c r="AF66" s="491"/>
      <c r="AG66" s="491"/>
      <c r="AH66" s="491"/>
      <c r="AI66" s="491"/>
      <c r="AJ66" s="491"/>
      <c r="AK66" s="491"/>
      <c r="AL66" s="491"/>
      <c r="AM66" s="491"/>
      <c r="AN66" s="491"/>
      <c r="AO66" s="491"/>
      <c r="AP66" s="491"/>
      <c r="AQ66" s="491"/>
      <c r="AR66" s="491"/>
      <c r="AS66" s="491"/>
      <c r="AT66" s="491"/>
      <c r="AU66" s="491"/>
      <c r="AV66" s="491"/>
      <c r="AW66" s="491"/>
      <c r="AX66" s="491"/>
      <c r="AY66" s="491"/>
      <c r="AZ66" s="491"/>
      <c r="BA66" s="491"/>
      <c r="BB66" s="491"/>
      <c r="BC66" s="491"/>
    </row>
    <row r="67" customFormat="false" ht="18.75" hidden="false" customHeight="true" outlineLevel="0" collapsed="false">
      <c r="O67" s="45"/>
      <c r="S67" s="412"/>
      <c r="T67" s="491"/>
      <c r="U67" s="491"/>
      <c r="V67" s="491"/>
      <c r="W67" s="491"/>
      <c r="X67" s="491"/>
      <c r="Y67" s="491"/>
      <c r="Z67" s="491"/>
      <c r="AA67" s="491"/>
      <c r="AB67" s="491"/>
      <c r="AC67" s="491"/>
      <c r="AD67" s="491"/>
      <c r="AE67" s="491"/>
      <c r="AF67" s="491"/>
      <c r="AG67" s="491"/>
      <c r="AH67" s="491"/>
      <c r="AI67" s="491"/>
      <c r="AJ67" s="491"/>
      <c r="AK67" s="491"/>
      <c r="AL67" s="491"/>
      <c r="AM67" s="491"/>
      <c r="AN67" s="491"/>
      <c r="AO67" s="491"/>
      <c r="AP67" s="491"/>
      <c r="AQ67" s="491"/>
      <c r="AR67" s="491"/>
      <c r="AS67" s="491"/>
      <c r="AT67" s="491"/>
      <c r="AU67" s="491"/>
      <c r="AV67" s="491"/>
      <c r="AW67" s="491"/>
      <c r="AX67" s="491"/>
      <c r="AY67" s="491"/>
      <c r="AZ67" s="491"/>
      <c r="BA67" s="491"/>
      <c r="BB67" s="491"/>
      <c r="BC67" s="491"/>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30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true" outlineLevel="0" max="1" min="1" style="589" width="10.71"/>
    <col collapsed="false" customWidth="true" hidden="true" outlineLevel="0" max="2" min="2" style="45" width="16.85"/>
    <col collapsed="false" customWidth="true" hidden="true" outlineLevel="0" max="3" min="3" style="47"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2"/>
    <col collapsed="false" customWidth="true" hidden="true" outlineLevel="0" max="8" min="8" style="42" width="40.71"/>
    <col collapsed="false" customWidth="true" hidden="false" outlineLevel="0" max="9" min="9" style="42" width="40.71"/>
    <col collapsed="false" customWidth="true" hidden="false" outlineLevel="0" max="10" min="10" style="42" width="102.85"/>
    <col collapsed="false" customWidth="true" hidden="false" outlineLevel="0" max="11" min="11" style="45" width="9.71"/>
    <col collapsed="false" customWidth="true" hidden="false" outlineLevel="0" max="12" min="12" style="47" width="5.28"/>
    <col collapsed="false" customWidth="true" hidden="false" outlineLevel="0" max="13" min="13" style="47" width="3.71"/>
    <col collapsed="false" customWidth="true" hidden="false" outlineLevel="0" max="17" min="14" style="45" width="3.71"/>
    <col collapsed="false" customWidth="true" hidden="false" outlineLevel="0" max="18" min="18" style="47" width="10.57"/>
    <col collapsed="false" customWidth="true" hidden="false" outlineLevel="0" max="19" min="19" style="45" width="34.71"/>
    <col collapsed="false" customWidth="true" hidden="false" outlineLevel="0" max="20" min="20" style="45" width="9.42"/>
    <col collapsed="false" customWidth="false" hidden="false" outlineLevel="0" max="21" min="21" style="590" width="9.14"/>
    <col collapsed="false" customWidth="false" hidden="false" outlineLevel="0" max="31" min="22" style="45" width="9.14"/>
  </cols>
  <sheetData>
    <row r="1" customFormat="false" ht="11.25" hidden="true" customHeight="true" outlineLevel="0" collapsed="false"/>
    <row r="2" customFormat="false" ht="23.25" hidden="true" customHeight="true" outlineLevel="0" collapsed="false">
      <c r="B2" s="43"/>
      <c r="C2" s="459" t="s">
        <v>566</v>
      </c>
      <c r="D2" s="113"/>
      <c r="E2" s="591" t="n">
        <f aca="false">B2</f>
        <v>0</v>
      </c>
      <c r="F2" s="592"/>
      <c r="G2" s="145" t="s">
        <v>567</v>
      </c>
      <c r="H2" s="145" t="s">
        <v>567</v>
      </c>
      <c r="I2" s="145" t="s">
        <v>567</v>
      </c>
      <c r="J2" s="420" t="s">
        <v>568</v>
      </c>
      <c r="K2" s="593"/>
    </row>
    <row r="3" s="47" customFormat="true" ht="0.75" hidden="true" customHeight="true" outlineLevel="0" collapsed="false">
      <c r="B3" s="43"/>
      <c r="C3" s="459"/>
      <c r="D3" s="459"/>
      <c r="E3" s="594"/>
      <c r="F3" s="595" t="s">
        <v>569</v>
      </c>
      <c r="G3" s="146"/>
      <c r="H3" s="146" t="n">
        <f aca="false">H4*H5+H7</f>
        <v>0</v>
      </c>
      <c r="I3" s="146" t="n">
        <f aca="false">I4*I5+I6</f>
        <v>0</v>
      </c>
      <c r="J3" s="304"/>
    </row>
    <row r="4" customFormat="false" ht="23.25" hidden="true" customHeight="true" outlineLevel="0" collapsed="false">
      <c r="B4" s="43"/>
      <c r="C4" s="459"/>
      <c r="D4" s="113"/>
      <c r="E4" s="591" t="str">
        <f aca="false">B2&amp;".1"</f>
        <v>.1</v>
      </c>
      <c r="F4" s="596" t="s">
        <v>570</v>
      </c>
      <c r="G4" s="597"/>
      <c r="H4" s="438"/>
      <c r="I4" s="438"/>
      <c r="J4" s="420" t="s">
        <v>571</v>
      </c>
      <c r="K4" s="593"/>
    </row>
    <row r="5" customFormat="false" ht="18.75" hidden="true" customHeight="true" outlineLevel="0" collapsed="false">
      <c r="B5" s="43"/>
      <c r="C5" s="459"/>
      <c r="D5" s="113"/>
      <c r="E5" s="591" t="str">
        <f aca="false">B2&amp;".2"</f>
        <v>.2</v>
      </c>
      <c r="F5" s="596" t="s">
        <v>572</v>
      </c>
      <c r="G5" s="145" t="s">
        <v>573</v>
      </c>
      <c r="H5" s="438"/>
      <c r="I5" s="438"/>
      <c r="J5" s="420"/>
      <c r="K5" s="593"/>
    </row>
    <row r="6" customFormat="false" ht="18.75" hidden="true" customHeight="true" outlineLevel="0" collapsed="false">
      <c r="B6" s="43"/>
      <c r="C6" s="459"/>
      <c r="D6" s="113"/>
      <c r="E6" s="591" t="str">
        <f aca="false">B2&amp;".3"</f>
        <v>.3</v>
      </c>
      <c r="F6" s="596" t="s">
        <v>574</v>
      </c>
      <c r="G6" s="145" t="s">
        <v>573</v>
      </c>
      <c r="H6" s="438"/>
      <c r="I6" s="438"/>
      <c r="J6" s="420"/>
      <c r="K6" s="593"/>
    </row>
    <row r="7" customFormat="false" ht="18.75" hidden="true" customHeight="true" outlineLevel="0" collapsed="false">
      <c r="B7" s="43"/>
      <c r="C7" s="459"/>
      <c r="D7" s="113"/>
      <c r="E7" s="591" t="str">
        <f aca="false">B2&amp;".4"</f>
        <v>.4</v>
      </c>
      <c r="F7" s="596" t="s">
        <v>575</v>
      </c>
      <c r="G7" s="145" t="s">
        <v>567</v>
      </c>
      <c r="H7" s="561"/>
      <c r="I7" s="561"/>
      <c r="J7" s="420"/>
      <c r="K7" s="593"/>
    </row>
    <row r="8" s="45" customFormat="true" ht="11.25" hidden="true" customHeight="true" outlineLevel="0" collapsed="false">
      <c r="A8" s="589"/>
      <c r="C8" s="47"/>
      <c r="H8" s="45" t="n">
        <v>4</v>
      </c>
      <c r="I8" s="45" t="n">
        <v>4</v>
      </c>
      <c r="L8" s="47"/>
      <c r="M8" s="47"/>
      <c r="R8" s="47"/>
    </row>
    <row r="9" s="45" customFormat="true" ht="22.5" hidden="true" customHeight="true" outlineLevel="0" collapsed="false">
      <c r="A9" s="589"/>
      <c r="C9" s="47"/>
      <c r="D9" s="598"/>
      <c r="E9" s="145"/>
      <c r="F9" s="147"/>
      <c r="G9" s="145" t="s">
        <v>573</v>
      </c>
      <c r="H9" s="438"/>
      <c r="I9" s="438"/>
      <c r="J9" s="599" t="s">
        <v>576</v>
      </c>
      <c r="K9" s="593"/>
      <c r="L9" s="47"/>
      <c r="M9" s="47"/>
      <c r="R9" s="47"/>
      <c r="U9" s="590"/>
    </row>
    <row r="10" customFormat="false" ht="11.25" hidden="true" customHeight="true" outlineLevel="0" collapsed="false"/>
    <row r="11" customFormat="false" ht="18.75" hidden="true" customHeight="true" outlineLevel="0" collapsed="false">
      <c r="D11" s="113"/>
      <c r="E11" s="591"/>
      <c r="F11" s="147"/>
      <c r="G11" s="145" t="s">
        <v>577</v>
      </c>
      <c r="H11" s="438"/>
      <c r="I11" s="438"/>
      <c r="J11" s="420" t="s">
        <v>578</v>
      </c>
      <c r="K11" s="593"/>
    </row>
    <row r="12" customFormat="false" ht="11.25" hidden="true" customHeight="true" outlineLevel="0" collapsed="false"/>
    <row r="13" customFormat="false" ht="22.5" hidden="true" customHeight="true" outlineLevel="0" collapsed="false">
      <c r="D13" s="113"/>
      <c r="E13" s="591"/>
      <c r="F13" s="147"/>
      <c r="G13" s="501" t="s">
        <v>579</v>
      </c>
      <c r="H13" s="600"/>
      <c r="I13" s="600"/>
      <c r="J13" s="601" t="s">
        <v>580</v>
      </c>
      <c r="K13" s="593"/>
    </row>
    <row r="14" customFormat="false" ht="11.25" hidden="true" customHeight="true" outlineLevel="0" collapsed="false"/>
    <row r="15" customFormat="false" ht="22.5" hidden="true" customHeight="true" outlineLevel="0" collapsed="false">
      <c r="D15" s="113"/>
      <c r="E15" s="591"/>
      <c r="F15" s="147"/>
      <c r="G15" s="145" t="s">
        <v>581</v>
      </c>
      <c r="H15" s="600"/>
      <c r="I15" s="600"/>
      <c r="J15" s="420" t="s">
        <v>582</v>
      </c>
      <c r="K15" s="593"/>
    </row>
    <row r="16" customFormat="false" ht="11.25" hidden="true" customHeight="true" outlineLevel="0" collapsed="false"/>
    <row r="17" customFormat="false" ht="22.5" hidden="true" customHeight="true" outlineLevel="0" collapsed="false">
      <c r="D17" s="113"/>
      <c r="E17" s="591"/>
      <c r="F17" s="147"/>
      <c r="G17" s="145" t="s">
        <v>583</v>
      </c>
      <c r="H17" s="600"/>
      <c r="I17" s="600"/>
      <c r="J17" s="420" t="s">
        <v>584</v>
      </c>
      <c r="K17" s="593"/>
    </row>
    <row r="18" customFormat="false" ht="11.25" hidden="true" customHeight="true" outlineLevel="0" collapsed="false"/>
    <row r="19" s="45" customFormat="true" ht="11.25" hidden="true" customHeight="true" outlineLevel="0" collapsed="false">
      <c r="A19" s="589"/>
      <c r="C19" s="47"/>
      <c r="J19" s="45" t="n">
        <v>4</v>
      </c>
      <c r="L19" s="47"/>
      <c r="M19" s="47"/>
      <c r="R19" s="47"/>
      <c r="U19" s="590"/>
    </row>
    <row r="21" customFormat="false" ht="24" hidden="false" customHeight="true" outlineLevel="0" collapsed="false">
      <c r="E21" s="212" t="str">
        <f aca="false">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2"/>
      <c r="G21" s="212"/>
      <c r="H21" s="212"/>
      <c r="I21" s="212"/>
      <c r="J21" s="214"/>
    </row>
    <row r="22" customFormat="false" ht="24" hidden="false" customHeight="true" outlineLevel="0" collapsed="false">
      <c r="E22" s="265" t="str">
        <f aca="false">IF(org=0,"Не определено",org)</f>
        <v>ООО "Газпром теплоэнерго Ярославль"</v>
      </c>
      <c r="F22" s="265"/>
      <c r="G22" s="265"/>
      <c r="H22" s="265"/>
      <c r="I22" s="265"/>
    </row>
    <row r="23" customFormat="false" ht="11.25" hidden="false" customHeight="true" outlineLevel="0" collapsed="false">
      <c r="E23" s="602"/>
      <c r="F23" s="602"/>
      <c r="G23" s="602"/>
      <c r="H23" s="602"/>
      <c r="I23" s="602"/>
    </row>
    <row r="24" s="47" customFormat="true" ht="0.75" hidden="false" customHeight="true" outlineLevel="0" collapsed="false">
      <c r="A24" s="459"/>
      <c r="H24" s="603"/>
      <c r="I24" s="603" t="s">
        <v>124</v>
      </c>
    </row>
    <row r="25" customFormat="false" ht="11.25" hidden="false" customHeight="true" outlineLevel="0" collapsed="false">
      <c r="E25" s="604"/>
      <c r="F25" s="605" t="s">
        <v>113</v>
      </c>
      <c r="G25" s="605"/>
      <c r="H25" s="606" t="str">
        <f aca="false">IF(H24="","",INDEX(DIFFERENTIATION_UNMERGE_VD,MATCH(H24,DIFFERENTIATION_ID_DIFF,0)))</f>
        <v/>
      </c>
      <c r="I25" s="606" t="n">
        <f aca="false">IF(I24="","",INDEX(DIFFERENTIATION_UNMERGE_VD,MATCH(I24,DIFFERENTIATION_ID_DIFF,0)))</f>
        <v>0</v>
      </c>
      <c r="J25" s="133"/>
    </row>
    <row r="26" customFormat="false" ht="11.25" hidden="false" customHeight="true" outlineLevel="0" collapsed="false">
      <c r="E26" s="604"/>
      <c r="F26" s="605" t="s">
        <v>585</v>
      </c>
      <c r="G26" s="605"/>
      <c r="H26" s="606" t="str">
        <f aca="false">IF(H24="","",INDEX(DIFFERENTIATION_UNMERGE_AREA,MATCH(H24,DIFFERENTIATION_ID_DIFF,0)))</f>
        <v/>
      </c>
      <c r="I26" s="606" t="str">
        <f aca="false">IF(I24="","",INDEX(DIFFERENTIATION_UNMERGE_AREA,MATCH(I24,DIFFERENTIATION_ID_DIFF,0)))</f>
        <v/>
      </c>
      <c r="J26" s="133"/>
    </row>
    <row r="27" customFormat="false" ht="11.25" hidden="false" customHeight="true" outlineLevel="0" collapsed="false">
      <c r="E27" s="604"/>
      <c r="F27" s="605" t="s">
        <v>586</v>
      </c>
      <c r="G27" s="605"/>
      <c r="H27" s="606" t="str">
        <f aca="false">IF(H24="","",INDEX(DIFFERENTIATION_UNMERGE_SYSTEM,MATCH(H24,DIFFERENTIATION_ID_DIFF,0)))</f>
        <v/>
      </c>
      <c r="I27" s="606" t="str">
        <f aca="false">IF(I24="","",INDEX(DIFFERENTIATION_UNMERGE_SYSTEM,MATCH(I24,DIFFERENTIATION_ID_DIFF,0)))</f>
        <v>без дифференциации</v>
      </c>
      <c r="J27" s="133"/>
    </row>
    <row r="28" customFormat="false" ht="11.25" hidden="false" customHeight="true" outlineLevel="0" collapsed="false">
      <c r="E28" s="607" t="s">
        <v>316</v>
      </c>
      <c r="F28" s="607"/>
      <c r="G28" s="607"/>
      <c r="H28" s="608"/>
      <c r="I28" s="608"/>
      <c r="J28" s="133"/>
    </row>
    <row r="29" customFormat="false" ht="22.5" hidden="false" customHeight="true" outlineLevel="0" collapsed="false">
      <c r="E29" s="145" t="s">
        <v>84</v>
      </c>
      <c r="F29" s="145" t="s">
        <v>318</v>
      </c>
      <c r="G29" s="145" t="s">
        <v>587</v>
      </c>
      <c r="H29" s="145" t="s">
        <v>319</v>
      </c>
      <c r="I29" s="145" t="s">
        <v>319</v>
      </c>
      <c r="J29" s="133"/>
    </row>
    <row r="30" customFormat="false" ht="18.75" hidden="false" customHeight="true" outlineLevel="0" collapsed="false">
      <c r="D30" s="113"/>
      <c r="E30" s="591" t="n">
        <f aca="false">FHD_NUM_P_1</f>
        <v>1</v>
      </c>
      <c r="F30" s="609" t="str">
        <f aca="false">FHD_P_1</f>
        <v>Выручка от регулируемых видов деятельности в сфере горячего водоснабжения</v>
      </c>
      <c r="G30" s="145" t="s">
        <v>573</v>
      </c>
      <c r="H30" s="610"/>
      <c r="I30" s="610"/>
      <c r="J30" s="420" t="str">
        <f aca="false">FHD_NOTE_P_1</f>
        <v>Указывается выручка с распределением по видам деятельности.</v>
      </c>
      <c r="K30" s="593"/>
    </row>
    <row r="31" customFormat="false" ht="11.25" hidden="false" customHeight="true" outlineLevel="0" collapsed="false">
      <c r="D31" s="113"/>
      <c r="E31" s="591" t="n">
        <f aca="false">FHD_NUM_P_2</f>
        <v>2</v>
      </c>
      <c r="F31" s="609" t="str">
        <f aca="false">FHD_P_2</f>
        <v>Себестоимость производимых товаров (оказываемых услуг) по регулируемым видам деятельности в сфере горячего водоснабжения, включая:</v>
      </c>
      <c r="G31" s="145" t="s">
        <v>573</v>
      </c>
      <c r="H31" s="611" t="n">
        <f aca="false">SUMIF($K33:$K71,$K31,H33:H71)</f>
        <v>0</v>
      </c>
      <c r="I31" s="611" t="n">
        <f aca="false">SUMIF($K33:$K71,$K31,I33:I71)</f>
        <v>0</v>
      </c>
      <c r="J31" s="420" t="str">
        <f aca="false">FHD_NOTE_P_2</f>
        <v>Указывается суммарная себестоимость производимых товаров.</v>
      </c>
      <c r="K31" s="47" t="s">
        <v>588</v>
      </c>
    </row>
    <row r="32" customFormat="false" ht="11.25" hidden="false" customHeight="true" outlineLevel="0" collapsed="false">
      <c r="D32" s="113"/>
      <c r="E32" s="591" t="str">
        <f aca="false">FHD_NUM_P_3</f>
        <v>2.1</v>
      </c>
      <c r="F32" s="557" t="str">
        <f aca="false">FHD_P_3</f>
        <v>Расходы на приобретаемую тепловую энергию (мощность), используемую для горячего водоснабжения</v>
      </c>
      <c r="G32" s="145" t="s">
        <v>573</v>
      </c>
      <c r="H32" s="610"/>
      <c r="I32" s="610"/>
      <c r="J32" s="420" t="str">
        <f aca="false">FHD_NOTE_P_3</f>
        <v/>
      </c>
      <c r="K32" s="47" t="str">
        <f aca="false">IF((LEN(E32)-LEN(SUBSTITUTE(E32,".","")))/LEN(".")=1,"p","")</f>
        <v>p</v>
      </c>
    </row>
    <row r="33" customFormat="false" ht="11.25" hidden="true" customHeight="true" outlineLevel="0" collapsed="false">
      <c r="A33" s="612" t="s">
        <v>589</v>
      </c>
      <c r="D33" s="113"/>
      <c r="E33" s="591" t="str">
        <f aca="false">FHD_NUM_P_4</f>
        <v/>
      </c>
      <c r="F33" s="557" t="str">
        <f aca="false">FHD_P_4</f>
        <v/>
      </c>
      <c r="G33" s="145" t="s">
        <v>573</v>
      </c>
      <c r="H33" s="611" t="n">
        <f aca="false">SUMIF($F34:$F40,$F3,H34:H40)</f>
        <v>0</v>
      </c>
      <c r="I33" s="611" t="n">
        <f aca="false">SUMIF($F34:$F40,$F3,I34:I40)</f>
        <v>0</v>
      </c>
      <c r="J33" s="420" t="str">
        <f aca="false">FHD_NOTE_P_4</f>
        <v/>
      </c>
      <c r="K33" s="47" t="str">
        <f aca="false">IF((LEN(E33)-LEN(SUBSTITUTE(E33,".","")))/LEN(".")=1,"p","")</f>
        <v/>
      </c>
    </row>
    <row r="34" s="119" customFormat="true" ht="0.75" hidden="true" customHeight="true" outlineLevel="0" collapsed="false">
      <c r="A34" s="612"/>
      <c r="B34" s="613" t="str">
        <f aca="false">E33&amp;".0"</f>
        <v>.0</v>
      </c>
      <c r="C34" s="459"/>
      <c r="D34" s="614"/>
      <c r="E34" s="615"/>
      <c r="F34" s="616"/>
      <c r="G34" s="617"/>
      <c r="H34" s="369"/>
      <c r="I34" s="369"/>
      <c r="J34" s="618"/>
      <c r="K34" s="47" t="str">
        <f aca="false">IF((LEN(E34)-LEN(SUBSTITUTE(E34,".","")))/LEN(".")=1,"p","")</f>
        <v/>
      </c>
      <c r="L34" s="47"/>
      <c r="M34" s="47"/>
      <c r="N34" s="47"/>
      <c r="O34" s="47"/>
      <c r="P34" s="47"/>
      <c r="Q34" s="47"/>
      <c r="R34" s="47"/>
      <c r="S34" s="47"/>
      <c r="T34" s="47"/>
      <c r="U34" s="619"/>
      <c r="V34" s="47"/>
      <c r="W34" s="47"/>
      <c r="X34" s="47"/>
      <c r="Y34" s="47"/>
      <c r="Z34" s="47"/>
      <c r="AA34" s="47"/>
      <c r="AB34" s="47"/>
      <c r="AC34" s="47"/>
      <c r="AD34" s="47"/>
      <c r="AE34" s="47"/>
    </row>
    <row r="35" s="119" customFormat="true" ht="0.75" hidden="true" customHeight="true" outlineLevel="0" collapsed="false">
      <c r="A35" s="612"/>
      <c r="B35" s="613"/>
      <c r="C35" s="459"/>
      <c r="D35" s="614"/>
      <c r="E35" s="620"/>
      <c r="F35" s="621"/>
      <c r="G35" s="617"/>
      <c r="H35" s="622"/>
      <c r="I35" s="622"/>
      <c r="J35" s="618"/>
      <c r="K35" s="47" t="str">
        <f aca="false">IF((LEN(E35)-LEN(SUBSTITUTE(E35,".","")))/LEN(".")=1,"p","")</f>
        <v/>
      </c>
      <c r="L35" s="47"/>
      <c r="M35" s="47"/>
      <c r="N35" s="47"/>
      <c r="O35" s="47"/>
      <c r="P35" s="47"/>
      <c r="Q35" s="47"/>
      <c r="R35" s="47"/>
      <c r="S35" s="47"/>
      <c r="T35" s="47"/>
      <c r="U35" s="619"/>
      <c r="V35" s="47"/>
      <c r="W35" s="47"/>
      <c r="X35" s="47"/>
      <c r="Y35" s="47"/>
      <c r="Z35" s="47"/>
      <c r="AA35" s="47"/>
      <c r="AB35" s="47"/>
      <c r="AC35" s="47"/>
      <c r="AD35" s="47"/>
      <c r="AE35" s="47"/>
    </row>
    <row r="36" s="119" customFormat="true" ht="0.75" hidden="true" customHeight="true" outlineLevel="0" collapsed="false">
      <c r="A36" s="612"/>
      <c r="B36" s="613"/>
      <c r="C36" s="459"/>
      <c r="D36" s="614"/>
      <c r="E36" s="620"/>
      <c r="F36" s="621"/>
      <c r="G36" s="617"/>
      <c r="H36" s="622"/>
      <c r="I36" s="622"/>
      <c r="J36" s="618"/>
      <c r="K36" s="47" t="str">
        <f aca="false">IF((LEN(E36)-LEN(SUBSTITUTE(E36,".","")))/LEN(".")=1,"p","")</f>
        <v/>
      </c>
      <c r="L36" s="47"/>
      <c r="M36" s="47"/>
      <c r="N36" s="47"/>
      <c r="O36" s="47"/>
      <c r="P36" s="47"/>
      <c r="Q36" s="47"/>
      <c r="R36" s="47"/>
      <c r="S36" s="47"/>
      <c r="T36" s="47"/>
      <c r="U36" s="619"/>
      <c r="V36" s="47"/>
      <c r="W36" s="47"/>
      <c r="X36" s="47"/>
      <c r="Y36" s="47"/>
      <c r="Z36" s="47"/>
      <c r="AA36" s="47"/>
      <c r="AB36" s="47"/>
      <c r="AC36" s="47"/>
      <c r="AD36" s="47"/>
      <c r="AE36" s="47"/>
    </row>
    <row r="37" s="119" customFormat="true" ht="0.75" hidden="true" customHeight="true" outlineLevel="0" collapsed="false">
      <c r="A37" s="612"/>
      <c r="B37" s="613"/>
      <c r="C37" s="459"/>
      <c r="D37" s="614"/>
      <c r="E37" s="620"/>
      <c r="F37" s="621"/>
      <c r="G37" s="617"/>
      <c r="H37" s="622"/>
      <c r="I37" s="622"/>
      <c r="J37" s="618"/>
      <c r="K37" s="47" t="str">
        <f aca="false">IF((LEN(E37)-LEN(SUBSTITUTE(E37,".","")))/LEN(".")=1,"p","")</f>
        <v/>
      </c>
      <c r="L37" s="47"/>
      <c r="M37" s="47"/>
      <c r="N37" s="47"/>
      <c r="O37" s="47"/>
      <c r="P37" s="47"/>
      <c r="Q37" s="47"/>
      <c r="R37" s="47"/>
      <c r="S37" s="47"/>
      <c r="T37" s="47"/>
      <c r="U37" s="619"/>
      <c r="V37" s="47"/>
      <c r="W37" s="47"/>
      <c r="X37" s="47"/>
      <c r="Y37" s="47"/>
      <c r="Z37" s="47"/>
      <c r="AA37" s="47"/>
      <c r="AB37" s="47"/>
      <c r="AC37" s="47"/>
      <c r="AD37" s="47"/>
      <c r="AE37" s="47"/>
    </row>
    <row r="38" s="119" customFormat="true" ht="0.75" hidden="true" customHeight="true" outlineLevel="0" collapsed="false">
      <c r="A38" s="612"/>
      <c r="B38" s="613"/>
      <c r="C38" s="459"/>
      <c r="D38" s="614"/>
      <c r="E38" s="620"/>
      <c r="F38" s="621"/>
      <c r="G38" s="617"/>
      <c r="H38" s="622"/>
      <c r="I38" s="622"/>
      <c r="J38" s="618"/>
      <c r="K38" s="47" t="str">
        <f aca="false">IF((LEN(E38)-LEN(SUBSTITUTE(E38,".","")))/LEN(".")=1,"p","")</f>
        <v/>
      </c>
      <c r="L38" s="47"/>
      <c r="M38" s="47"/>
      <c r="N38" s="47"/>
      <c r="O38" s="47"/>
      <c r="P38" s="47"/>
      <c r="Q38" s="47"/>
      <c r="R38" s="47"/>
      <c r="S38" s="47"/>
      <c r="T38" s="47"/>
      <c r="U38" s="619"/>
      <c r="V38" s="47"/>
      <c r="W38" s="47"/>
      <c r="X38" s="47"/>
      <c r="Y38" s="47"/>
      <c r="Z38" s="47"/>
      <c r="AA38" s="47"/>
      <c r="AB38" s="47"/>
      <c r="AC38" s="47"/>
      <c r="AD38" s="47"/>
      <c r="AE38" s="47"/>
    </row>
    <row r="39" s="119" customFormat="true" ht="0.75" hidden="true" customHeight="true" outlineLevel="0" collapsed="false">
      <c r="A39" s="612"/>
      <c r="B39" s="613"/>
      <c r="C39" s="459"/>
      <c r="D39" s="614"/>
      <c r="E39" s="620"/>
      <c r="F39" s="621"/>
      <c r="G39" s="617"/>
      <c r="H39" s="369"/>
      <c r="I39" s="369"/>
      <c r="J39" s="618"/>
      <c r="K39" s="47" t="str">
        <f aca="false">IF((LEN(E39)-LEN(SUBSTITUTE(E39,".","")))/LEN(".")=1,"p","")</f>
        <v/>
      </c>
      <c r="L39" s="47"/>
      <c r="M39" s="47"/>
      <c r="N39" s="47"/>
      <c r="O39" s="47"/>
      <c r="P39" s="47"/>
      <c r="Q39" s="47"/>
      <c r="R39" s="47"/>
      <c r="S39" s="47"/>
      <c r="T39" s="47"/>
      <c r="U39" s="619"/>
      <c r="V39" s="47"/>
      <c r="W39" s="47"/>
      <c r="X39" s="47"/>
      <c r="Y39" s="47"/>
      <c r="Z39" s="47"/>
      <c r="AA39" s="47"/>
      <c r="AB39" s="47"/>
      <c r="AC39" s="47"/>
      <c r="AD39" s="47"/>
      <c r="AE39" s="47"/>
    </row>
    <row r="40" s="45" customFormat="true" ht="15" hidden="true" customHeight="true" outlineLevel="0" collapsed="false">
      <c r="A40" s="612"/>
      <c r="C40" s="47"/>
      <c r="D40" s="116"/>
      <c r="E40" s="623"/>
      <c r="F40" s="211" t="s">
        <v>590</v>
      </c>
      <c r="G40" s="624"/>
      <c r="H40" s="625"/>
      <c r="I40" s="625"/>
      <c r="J40" s="478"/>
      <c r="K40" s="47" t="str">
        <f aca="false">IF((LEN(E40)-LEN(SUBSTITUTE(E40,".","")))/LEN(".")=1,"p","")</f>
        <v/>
      </c>
      <c r="L40" s="47"/>
      <c r="M40" s="47"/>
      <c r="R40" s="47"/>
      <c r="U40" s="590"/>
    </row>
    <row r="41" customFormat="false" ht="11.25" hidden="false" customHeight="true" outlineLevel="0" collapsed="false">
      <c r="A41" s="612" t="s">
        <v>591</v>
      </c>
      <c r="D41" s="113"/>
      <c r="E41" s="591" t="str">
        <f aca="false">FHD_NUM_P_5</f>
        <v>2.2</v>
      </c>
      <c r="F41" s="557" t="str">
        <f aca="false">FHD_P_5</f>
        <v>Расходы на тепловую энергию, производимую с применением собственных источников и используемую для горячего водоснабжения</v>
      </c>
      <c r="G41" s="145" t="s">
        <v>573</v>
      </c>
      <c r="H41" s="610"/>
      <c r="I41" s="610"/>
      <c r="J41" s="420" t="str">
        <f aca="false">FHD_NOTE_P_5</f>
        <v/>
      </c>
      <c r="K41" s="47" t="str">
        <f aca="false">IF((LEN(E41)-LEN(SUBSTITUTE(E41,".","")))/LEN(".")=1,"p","")</f>
        <v>p</v>
      </c>
    </row>
    <row r="42" customFormat="false" ht="11.25" hidden="false" customHeight="true" outlineLevel="0" collapsed="false">
      <c r="A42" s="612"/>
      <c r="D42" s="113"/>
      <c r="E42" s="591" t="str">
        <f aca="false">FHD_NUM_P_6</f>
        <v>2.3</v>
      </c>
      <c r="F42" s="557" t="str">
        <f aca="false">FHD_P_6</f>
        <v>Расходы на приобретаемую холодную воду, используемую для горячего водоснабжения</v>
      </c>
      <c r="G42" s="145" t="s">
        <v>573</v>
      </c>
      <c r="H42" s="610"/>
      <c r="I42" s="610"/>
      <c r="J42" s="420" t="str">
        <f aca="false">FHD_NOTE_P_6</f>
        <v/>
      </c>
      <c r="K42" s="47" t="str">
        <f aca="false">IF((LEN(E42)-LEN(SUBSTITUTE(E42,".","")))/LEN(".")=1,"p","")</f>
        <v>p</v>
      </c>
    </row>
    <row r="43" customFormat="false" ht="11.25" hidden="false" customHeight="true" outlineLevel="0" collapsed="false">
      <c r="A43" s="612"/>
      <c r="D43" s="113"/>
      <c r="E43" s="591" t="str">
        <f aca="false">FHD_NUM_P_7</f>
        <v>2.4</v>
      </c>
      <c r="F43" s="557" t="str">
        <f aca="false">FHD_P_7</f>
        <v>Расходы на холодную воду, получаемую с применением собственных источников водозабора (скважин) и используемую для горячего водоснабжения</v>
      </c>
      <c r="G43" s="145" t="s">
        <v>573</v>
      </c>
      <c r="H43" s="610"/>
      <c r="I43" s="610"/>
      <c r="J43" s="420" t="str">
        <f aca="false">FHD_NOTE_P_7</f>
        <v/>
      </c>
      <c r="K43" s="47" t="str">
        <f aca="false">IF((LEN(E43)-LEN(SUBSTITUTE(E43,".","")))/LEN(".")=1,"p","")</f>
        <v>p</v>
      </c>
    </row>
    <row r="44" customFormat="false" ht="11.25" hidden="false" customHeight="true" outlineLevel="0" collapsed="false">
      <c r="D44" s="113"/>
      <c r="E44" s="591" t="str">
        <f aca="false">FHD_NUM_P_8</f>
        <v>2.5</v>
      </c>
      <c r="F44" s="557" t="str">
        <f aca="false">FHD_P_8</f>
        <v>Расходы на приобретаемую электрическую энергию (мощность), используемую в технологическом процессе</v>
      </c>
      <c r="G44" s="145" t="s">
        <v>573</v>
      </c>
      <c r="H44" s="610"/>
      <c r="I44" s="610"/>
      <c r="J44" s="420" t="str">
        <f aca="false">FHD_NOTE_P_8</f>
        <v/>
      </c>
      <c r="K44" s="47" t="str">
        <f aca="false">IF((LEN(E44)-LEN(SUBSTITUTE(E44,".","")))/LEN(".")=1,"p","")</f>
        <v>p</v>
      </c>
    </row>
    <row r="45" customFormat="false" ht="11.25" hidden="false" customHeight="true" outlineLevel="0" collapsed="false">
      <c r="D45" s="113"/>
      <c r="E45" s="591" t="str">
        <f aca="false">FHD_NUM_P_9</f>
        <v>2.5.1</v>
      </c>
      <c r="F45" s="626" t="str">
        <f aca="false">FHD_P_9</f>
        <v>Средневзвешенная стоимость 1 кВт.ч (с учетом мощности)</v>
      </c>
      <c r="G45" s="145" t="s">
        <v>592</v>
      </c>
      <c r="H45" s="610"/>
      <c r="I45" s="610"/>
      <c r="J45" s="420" t="str">
        <f aca="false">FHD_NOTE_P_9</f>
        <v/>
      </c>
      <c r="K45" s="47" t="str">
        <f aca="false">IF((LEN(E45)-LEN(SUBSTITUTE(E45,".","")))/LEN(".")=1,"p","")</f>
        <v/>
      </c>
    </row>
    <row r="46" s="45" customFormat="true" ht="11.25" hidden="false" customHeight="true" outlineLevel="0" collapsed="false">
      <c r="A46" s="589"/>
      <c r="C46" s="47"/>
      <c r="D46" s="627"/>
      <c r="E46" s="591" t="str">
        <f aca="false">FHD_NUM_P_10</f>
        <v>2.5.2</v>
      </c>
      <c r="F46" s="626" t="str">
        <f aca="false">FHD_P_10</f>
        <v>Объём приобретения электрической энергии</v>
      </c>
      <c r="G46" s="145" t="s">
        <v>593</v>
      </c>
      <c r="H46" s="610"/>
      <c r="I46" s="610"/>
      <c r="J46" s="420" t="str">
        <f aca="false">FHD_NOTE_P_10</f>
        <v/>
      </c>
      <c r="K46" s="47" t="str">
        <f aca="false">IF((LEN(E46)-LEN(SUBSTITUTE(E46,".","")))/LEN(".")=1,"p","")</f>
        <v/>
      </c>
      <c r="L46" s="47"/>
      <c r="M46" s="47"/>
      <c r="R46" s="47"/>
      <c r="U46" s="590"/>
    </row>
    <row r="47" s="45" customFormat="true" ht="11.25" hidden="true" customHeight="true" outlineLevel="0" collapsed="false">
      <c r="A47" s="628" t="s">
        <v>594</v>
      </c>
      <c r="C47" s="47"/>
      <c r="D47" s="629"/>
      <c r="E47" s="591" t="str">
        <f aca="false">FHD_NUM_P_11</f>
        <v/>
      </c>
      <c r="F47" s="557" t="str">
        <f aca="false">FHD_P_11</f>
        <v/>
      </c>
      <c r="G47" s="145" t="s">
        <v>573</v>
      </c>
      <c r="H47" s="610"/>
      <c r="I47" s="610"/>
      <c r="J47" s="420" t="str">
        <f aca="false">FHD_NOTE_P_11</f>
        <v/>
      </c>
      <c r="K47" s="47" t="str">
        <f aca="false">IF((LEN(E47)-LEN(SUBSTITUTE(E47,".","")))/LEN(".")=1,"p","")</f>
        <v/>
      </c>
      <c r="L47" s="47"/>
      <c r="M47" s="47"/>
      <c r="R47" s="47"/>
      <c r="U47" s="590"/>
    </row>
    <row r="48" s="45" customFormat="true" ht="18" hidden="true" customHeight="true" outlineLevel="0" collapsed="false">
      <c r="A48" s="628" t="s">
        <v>595</v>
      </c>
      <c r="C48" s="47"/>
      <c r="D48" s="113"/>
      <c r="E48" s="591" t="str">
        <f aca="false">FHD_NUM_P_12</f>
        <v/>
      </c>
      <c r="F48" s="557" t="str">
        <f aca="false">FHD_P_12</f>
        <v/>
      </c>
      <c r="G48" s="145" t="s">
        <v>573</v>
      </c>
      <c r="H48" s="630"/>
      <c r="I48" s="630"/>
      <c r="J48" s="420" t="str">
        <f aca="false">FHD_NOTE_P_12</f>
        <v/>
      </c>
      <c r="K48" s="47" t="str">
        <f aca="false">IF((LEN(E48)-LEN(SUBSTITUTE(E48,".","")))/LEN(".")=1,"p","")</f>
        <v/>
      </c>
      <c r="L48" s="47"/>
      <c r="M48" s="47"/>
      <c r="R48" s="47"/>
      <c r="U48" s="590"/>
    </row>
    <row r="49" s="40" customFormat="true" ht="11.25" hidden="false" customHeight="true" outlineLevel="0" collapsed="false">
      <c r="A49" s="631"/>
      <c r="C49" s="46"/>
      <c r="D49" s="279"/>
      <c r="E49" s="591" t="str">
        <f aca="false">FHD_NUM_P_13</f>
        <v>2.6</v>
      </c>
      <c r="F49" s="557"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45" t="s">
        <v>573</v>
      </c>
      <c r="H49" s="610"/>
      <c r="I49" s="610"/>
      <c r="J49" s="420" t="str">
        <f aca="false">FHD_NOTE_P_13</f>
        <v>Указывается общая сумма расходов на оплату труда и отчислений на социальные нужды основного производственного персонала.</v>
      </c>
      <c r="K49" s="47" t="str">
        <f aca="false">IF((LEN(E49)-LEN(SUBSTITUTE(E49,".","")))/LEN(".")=1,"p","")</f>
        <v>p</v>
      </c>
      <c r="L49" s="46"/>
      <c r="M49" s="46"/>
      <c r="R49" s="46"/>
      <c r="U49" s="632"/>
    </row>
    <row r="50" s="40" customFormat="true" ht="11.25" hidden="false" customHeight="true" outlineLevel="0" collapsed="false">
      <c r="A50" s="631"/>
      <c r="C50" s="46"/>
      <c r="D50" s="279"/>
      <c r="E50" s="591" t="str">
        <f aca="false">FHD_NUM_P_14</f>
        <v>2.6.1</v>
      </c>
      <c r="F50" s="626" t="str">
        <f aca="false">FHD_P_14</f>
        <v>Расходы на оплату труда основного производственного персонала</v>
      </c>
      <c r="G50" s="145" t="s">
        <v>573</v>
      </c>
      <c r="H50" s="610"/>
      <c r="I50" s="610"/>
      <c r="J50" s="420" t="str">
        <f aca="false">FHD_NOTE_P_14</f>
        <v/>
      </c>
      <c r="K50" s="47" t="str">
        <f aca="false">IF((LEN(E50)-LEN(SUBSTITUTE(E50,".","")))/LEN(".")=1,"p","")</f>
        <v/>
      </c>
      <c r="L50" s="46"/>
      <c r="M50" s="46"/>
      <c r="R50" s="46"/>
      <c r="U50" s="632"/>
    </row>
    <row r="51" s="40" customFormat="true" ht="11.25" hidden="false" customHeight="true" outlineLevel="0" collapsed="false">
      <c r="A51" s="631"/>
      <c r="C51" s="46"/>
      <c r="D51" s="279"/>
      <c r="E51" s="591" t="str">
        <f aca="false">FHD_NUM_P_15</f>
        <v>2.6.2</v>
      </c>
      <c r="F51" s="626"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45" t="s">
        <v>573</v>
      </c>
      <c r="H51" s="610"/>
      <c r="I51" s="610"/>
      <c r="J51" s="420" t="str">
        <f aca="false">FHD_NOTE_P_15</f>
        <v/>
      </c>
      <c r="K51" s="47" t="str">
        <f aca="false">IF((LEN(E51)-LEN(SUBSTITUTE(E51,".","")))/LEN(".")=1,"p","")</f>
        <v/>
      </c>
      <c r="L51" s="46"/>
      <c r="M51" s="46"/>
      <c r="R51" s="46"/>
      <c r="U51" s="632"/>
    </row>
    <row r="52" s="45" customFormat="true" ht="11.25" hidden="false" customHeight="true" outlineLevel="0" collapsed="false">
      <c r="A52" s="589"/>
      <c r="C52" s="47"/>
      <c r="D52" s="113"/>
      <c r="E52" s="591" t="str">
        <f aca="false">FHD_NUM_P_16</f>
        <v>2.7</v>
      </c>
      <c r="F52" s="557"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45" t="s">
        <v>573</v>
      </c>
      <c r="H52" s="610"/>
      <c r="I52" s="610"/>
      <c r="J52" s="420" t="str">
        <f aca="false">FHD_NOTE_P_16</f>
        <v>Указывается общая сумма расходов на оплату труда и отчислений на социальные нужды административно-управленческого персонала.</v>
      </c>
      <c r="K52" s="47" t="str">
        <f aca="false">IF((LEN(E52)-LEN(SUBSTITUTE(E52,".","")))/LEN(".")=1,"p","")</f>
        <v>p</v>
      </c>
      <c r="L52" s="47"/>
      <c r="M52" s="47"/>
      <c r="R52" s="47"/>
      <c r="U52" s="590"/>
    </row>
    <row r="53" s="45" customFormat="true" ht="11.25" hidden="false" customHeight="true" outlineLevel="0" collapsed="false">
      <c r="A53" s="589"/>
      <c r="C53" s="47"/>
      <c r="D53" s="113"/>
      <c r="E53" s="591" t="str">
        <f aca="false">FHD_NUM_P_17</f>
        <v>2.7.1</v>
      </c>
      <c r="F53" s="626" t="str">
        <f aca="false">FHD_P_17</f>
        <v>Расходы на оплату труда административно-управленческого персонала</v>
      </c>
      <c r="G53" s="145" t="s">
        <v>573</v>
      </c>
      <c r="H53" s="610"/>
      <c r="I53" s="610"/>
      <c r="J53" s="420" t="str">
        <f aca="false">FHD_NOTE_P_17</f>
        <v/>
      </c>
      <c r="K53" s="47" t="str">
        <f aca="false">IF((LEN(E53)-LEN(SUBSTITUTE(E53,".","")))/LEN(".")=1,"p","")</f>
        <v/>
      </c>
      <c r="L53" s="47"/>
      <c r="M53" s="47"/>
      <c r="R53" s="47"/>
      <c r="U53" s="590"/>
    </row>
    <row r="54" s="45" customFormat="true" ht="11.25" hidden="false" customHeight="true" outlineLevel="0" collapsed="false">
      <c r="A54" s="589"/>
      <c r="C54" s="47"/>
      <c r="D54" s="113"/>
      <c r="E54" s="591" t="str">
        <f aca="false">FHD_NUM_P_18</f>
        <v>2.7.2</v>
      </c>
      <c r="F54" s="626"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45" t="s">
        <v>573</v>
      </c>
      <c r="H54" s="610"/>
      <c r="I54" s="610"/>
      <c r="J54" s="420" t="str">
        <f aca="false">FHD_NOTE_P_18</f>
        <v/>
      </c>
      <c r="K54" s="47" t="str">
        <f aca="false">IF((LEN(E54)-LEN(SUBSTITUTE(E54,".","")))/LEN(".")=1,"p","")</f>
        <v/>
      </c>
      <c r="L54" s="47"/>
      <c r="M54" s="47"/>
      <c r="R54" s="47"/>
      <c r="U54" s="590"/>
    </row>
    <row r="55" s="45" customFormat="true" ht="11.25" hidden="false" customHeight="true" outlineLevel="0" collapsed="false">
      <c r="A55" s="589"/>
      <c r="C55" s="47"/>
      <c r="D55" s="629"/>
      <c r="E55" s="591" t="str">
        <f aca="false">FHD_NUM_P_19</f>
        <v>2.8</v>
      </c>
      <c r="F55" s="557" t="str">
        <f aca="false">FHD_P_19</f>
        <v>Расходы на амортизацию основных средств и нематериальных активов</v>
      </c>
      <c r="G55" s="145" t="s">
        <v>573</v>
      </c>
      <c r="H55" s="610"/>
      <c r="I55" s="610"/>
      <c r="J55" s="420" t="str">
        <f aca="false">FHD_NOTE_P_19</f>
        <v/>
      </c>
      <c r="K55" s="47" t="str">
        <f aca="false">IF((LEN(E55)-LEN(SUBSTITUTE(E55,".","")))/LEN(".")=1,"p","")</f>
        <v>p</v>
      </c>
      <c r="L55" s="47"/>
      <c r="M55" s="47"/>
      <c r="R55" s="47"/>
      <c r="U55" s="590"/>
    </row>
    <row r="56" s="45" customFormat="true" ht="11.25" hidden="false" customHeight="true" outlineLevel="0" collapsed="false">
      <c r="A56" s="589"/>
      <c r="C56" s="47"/>
      <c r="D56" s="629"/>
      <c r="E56" s="591" t="str">
        <f aca="false">FHD_NUM_P_20</f>
        <v>2.8.1</v>
      </c>
      <c r="F56" s="626" t="str">
        <f aca="false">FHD_P_20</f>
        <v>Расходы на амортизацию основных средств</v>
      </c>
      <c r="G56" s="145" t="s">
        <v>573</v>
      </c>
      <c r="H56" s="610"/>
      <c r="I56" s="610"/>
      <c r="J56" s="420" t="str">
        <f aca="false">FHD_NOTE_P_20</f>
        <v/>
      </c>
      <c r="K56" s="47" t="str">
        <f aca="false">IF((LEN(E56)-LEN(SUBSTITUTE(E56,".","")))/LEN(".")=1,"p","")</f>
        <v/>
      </c>
      <c r="L56" s="47"/>
      <c r="M56" s="47"/>
      <c r="R56" s="47"/>
      <c r="U56" s="590"/>
    </row>
    <row r="57" s="45" customFormat="true" ht="11.25" hidden="false" customHeight="true" outlineLevel="0" collapsed="false">
      <c r="A57" s="589"/>
      <c r="C57" s="47"/>
      <c r="D57" s="629"/>
      <c r="E57" s="591" t="str">
        <f aca="false">FHD_NUM_P_21</f>
        <v>2.8.2</v>
      </c>
      <c r="F57" s="626" t="str">
        <f aca="false">FHD_P_21</f>
        <v>Расходы на амортизацию нематериальных активов</v>
      </c>
      <c r="G57" s="145" t="s">
        <v>573</v>
      </c>
      <c r="H57" s="610"/>
      <c r="I57" s="610"/>
      <c r="J57" s="420" t="str">
        <f aca="false">FHD_NOTE_P_21</f>
        <v/>
      </c>
      <c r="K57" s="47" t="str">
        <f aca="false">IF((LEN(E57)-LEN(SUBSTITUTE(E57,".","")))/LEN(".")=1,"p","")</f>
        <v/>
      </c>
      <c r="L57" s="47"/>
      <c r="M57" s="47"/>
      <c r="R57" s="47"/>
      <c r="U57" s="590"/>
    </row>
    <row r="58" s="45" customFormat="true" ht="11.25" hidden="false" customHeight="true" outlineLevel="0" collapsed="false">
      <c r="A58" s="589"/>
      <c r="C58" s="47"/>
      <c r="D58" s="113"/>
      <c r="E58" s="591" t="str">
        <f aca="false">FHD_NUM_P_22</f>
        <v>2.9</v>
      </c>
      <c r="F58" s="557" t="str">
        <f aca="false">FHD_P_22</f>
        <v>Расходы на аренду имущества, используемого для осуществления регулируемых видов деятельности в сфере горячего водоснабжения</v>
      </c>
      <c r="G58" s="145" t="s">
        <v>573</v>
      </c>
      <c r="H58" s="610"/>
      <c r="I58" s="610"/>
      <c r="J58" s="420" t="str">
        <f aca="false">FHD_NOTE_P_22</f>
        <v/>
      </c>
      <c r="K58" s="47" t="str">
        <f aca="false">IF((LEN(E58)-LEN(SUBSTITUTE(E58,".","")))/LEN(".")=1,"p","")</f>
        <v>p</v>
      </c>
      <c r="L58" s="47"/>
      <c r="M58" s="47"/>
      <c r="R58" s="47"/>
      <c r="U58" s="590"/>
    </row>
    <row r="59" s="45" customFormat="true" ht="11.25" hidden="false" customHeight="true" outlineLevel="0" collapsed="false">
      <c r="A59" s="589"/>
      <c r="C59" s="47"/>
      <c r="D59" s="629"/>
      <c r="E59" s="591" t="str">
        <f aca="false">FHD_NUM_P_23</f>
        <v>2.10</v>
      </c>
      <c r="F59" s="557" t="str">
        <f aca="false">FHD_P_23</f>
        <v>Общепроизводственные расходы, в том числе:</v>
      </c>
      <c r="G59" s="145" t="s">
        <v>573</v>
      </c>
      <c r="H59" s="610"/>
      <c r="I59" s="610"/>
      <c r="J59" s="420" t="str">
        <f aca="false">FHD_NOTE_P_23</f>
        <v>Указывается общая сумма общепроизводственных расходов.</v>
      </c>
      <c r="K59" s="47" t="str">
        <f aca="false">IF((LEN(E59)-LEN(SUBSTITUTE(E59,".","")))/LEN(".")=1,"p","")</f>
        <v>p</v>
      </c>
      <c r="L59" s="47"/>
      <c r="M59" s="47"/>
      <c r="R59" s="47"/>
      <c r="U59" s="590"/>
    </row>
    <row r="60" s="45" customFormat="true" ht="11.25" hidden="false" customHeight="true" outlineLevel="0" collapsed="false">
      <c r="A60" s="589"/>
      <c r="C60" s="47"/>
      <c r="D60" s="629"/>
      <c r="E60" s="591" t="str">
        <f aca="false">FHD_NUM_P_24</f>
        <v>2.10.1</v>
      </c>
      <c r="F60" s="626" t="str">
        <f aca="false">FHD_P_24</f>
        <v>Расходы на текущий ремонт</v>
      </c>
      <c r="G60" s="145" t="s">
        <v>573</v>
      </c>
      <c r="H60" s="610"/>
      <c r="I60" s="610"/>
      <c r="J60" s="420" t="str">
        <f aca="false">FHD_NOTE_P_24</f>
        <v>Указываются расходы на текущий ремонт, отнесенные к общепроизводственным расходам.</v>
      </c>
      <c r="K60" s="47" t="str">
        <f aca="false">IF((LEN(E60)-LEN(SUBSTITUTE(E60,".","")))/LEN(".")=1,"p","")</f>
        <v/>
      </c>
      <c r="L60" s="47"/>
      <c r="M60" s="47"/>
      <c r="R60" s="47"/>
      <c r="U60" s="590"/>
    </row>
    <row r="61" s="45" customFormat="true" ht="11.25" hidden="false" customHeight="true" outlineLevel="0" collapsed="false">
      <c r="A61" s="589"/>
      <c r="C61" s="47"/>
      <c r="D61" s="629"/>
      <c r="E61" s="591" t="str">
        <f aca="false">FHD_NUM_P_25</f>
        <v>2.10.2</v>
      </c>
      <c r="F61" s="626" t="str">
        <f aca="false">FHD_P_25</f>
        <v>Расходы на капитальный ремонт</v>
      </c>
      <c r="G61" s="145" t="s">
        <v>573</v>
      </c>
      <c r="H61" s="610"/>
      <c r="I61" s="610"/>
      <c r="J61" s="420" t="str">
        <f aca="false">FHD_NOTE_P_25</f>
        <v>Указываются расходы на капитальный ремонт, отнесенные к общепроизводственным расходам.</v>
      </c>
      <c r="K61" s="47" t="str">
        <f aca="false">IF((LEN(E61)-LEN(SUBSTITUTE(E61,".","")))/LEN(".")=1,"p","")</f>
        <v/>
      </c>
      <c r="L61" s="47"/>
      <c r="M61" s="47"/>
      <c r="R61" s="47"/>
      <c r="U61" s="590"/>
    </row>
    <row r="62" s="45" customFormat="true" ht="11.25" hidden="false" customHeight="true" outlineLevel="0" collapsed="false">
      <c r="A62" s="589"/>
      <c r="C62" s="47"/>
      <c r="D62" s="113"/>
      <c r="E62" s="591" t="str">
        <f aca="false">FHD_NUM_P_26</f>
        <v>2.11</v>
      </c>
      <c r="F62" s="557" t="str">
        <f aca="false">FHD_P_26</f>
        <v>Общехозяйственные расходы, в том числе:</v>
      </c>
      <c r="G62" s="145" t="s">
        <v>573</v>
      </c>
      <c r="H62" s="610"/>
      <c r="I62" s="610"/>
      <c r="J62" s="420" t="str">
        <f aca="false">FHD_NOTE_P_26</f>
        <v>Указывается общая сумма общехозяйственных расходов.</v>
      </c>
      <c r="K62" s="47" t="str">
        <f aca="false">IF((LEN(E62)-LEN(SUBSTITUTE(E62,".","")))/LEN(".")=1,"p","")</f>
        <v>p</v>
      </c>
      <c r="L62" s="47"/>
      <c r="M62" s="47"/>
      <c r="R62" s="47"/>
      <c r="U62" s="590"/>
    </row>
    <row r="63" s="45" customFormat="true" ht="11.25" hidden="false" customHeight="true" outlineLevel="0" collapsed="false">
      <c r="A63" s="589"/>
      <c r="C63" s="47"/>
      <c r="D63" s="113"/>
      <c r="E63" s="591" t="str">
        <f aca="false">FHD_NUM_P_27</f>
        <v>2.11.1</v>
      </c>
      <c r="F63" s="626" t="str">
        <f aca="false">FHD_P_27</f>
        <v>Расходы на текущий ремонт</v>
      </c>
      <c r="G63" s="145" t="s">
        <v>573</v>
      </c>
      <c r="H63" s="610"/>
      <c r="I63" s="610"/>
      <c r="J63" s="420" t="str">
        <f aca="false">FHD_NOTE_P_27</f>
        <v>Указываются расходы на текущий ремонт, отнесенные к общехозяйственным расходам.</v>
      </c>
      <c r="K63" s="47" t="str">
        <f aca="false">IF((LEN(E63)-LEN(SUBSTITUTE(E63,".","")))/LEN(".")=1,"p","")</f>
        <v/>
      </c>
      <c r="L63" s="47"/>
      <c r="M63" s="47"/>
      <c r="R63" s="47"/>
      <c r="U63" s="590"/>
    </row>
    <row r="64" s="45" customFormat="true" ht="11.25" hidden="false" customHeight="true" outlineLevel="0" collapsed="false">
      <c r="A64" s="589"/>
      <c r="C64" s="47"/>
      <c r="D64" s="113"/>
      <c r="E64" s="591" t="str">
        <f aca="false">FHD_NUM_P_28</f>
        <v>2.11.2</v>
      </c>
      <c r="F64" s="626" t="str">
        <f aca="false">FHD_P_28</f>
        <v>Расходы на капитальный ремонт</v>
      </c>
      <c r="G64" s="145" t="s">
        <v>573</v>
      </c>
      <c r="H64" s="610"/>
      <c r="I64" s="610"/>
      <c r="J64" s="420" t="str">
        <f aca="false">FHD_NOTE_P_28</f>
        <v>Указываются расходы на капитальный ремонт, отнесенные к общехозяйственным расходам.</v>
      </c>
      <c r="K64" s="47" t="str">
        <f aca="false">IF((LEN(E64)-LEN(SUBSTITUTE(E64,".","")))/LEN(".")=1,"p","")</f>
        <v/>
      </c>
      <c r="L64" s="47"/>
      <c r="M64" s="47"/>
      <c r="R64" s="47"/>
      <c r="U64" s="590"/>
    </row>
    <row r="65" s="45" customFormat="true" ht="11.25" hidden="false" customHeight="true" outlineLevel="0" collapsed="false">
      <c r="A65" s="589"/>
      <c r="C65" s="47"/>
      <c r="D65" s="113"/>
      <c r="E65" s="591" t="str">
        <f aca="false">FHD_NUM_P_29</f>
        <v>2.12</v>
      </c>
      <c r="F65" s="557" t="str">
        <f aca="false">FHD_P_29</f>
        <v>Расходы на капитальный и текущий ремонт основных средств</v>
      </c>
      <c r="G65" s="145" t="s">
        <v>573</v>
      </c>
      <c r="H65" s="610"/>
      <c r="I65" s="610"/>
      <c r="J65" s="420" t="str">
        <f aca="false">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47" t="str">
        <f aca="false">IF((LEN(E65)-LEN(SUBSTITUTE(E65,".","")))/LEN(".")=1,"p","")</f>
        <v>p</v>
      </c>
      <c r="L65" s="47"/>
      <c r="M65" s="47"/>
      <c r="R65" s="47"/>
      <c r="U65" s="590"/>
    </row>
    <row r="66" s="45" customFormat="true" ht="11.25" hidden="false" customHeight="true" outlineLevel="0" collapsed="false">
      <c r="A66" s="589"/>
      <c r="C66" s="47"/>
      <c r="D66" s="113"/>
      <c r="E66" s="591" t="str">
        <f aca="false">FHD_NUM_P_30</f>
        <v>2.12.1</v>
      </c>
      <c r="F66" s="626"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45" t="s">
        <v>322</v>
      </c>
      <c r="H66" s="338" t="s">
        <v>596</v>
      </c>
      <c r="I66" s="338" t="s">
        <v>596</v>
      </c>
      <c r="J66" s="420" t="str">
        <f aca="false">FHD_NOTE_P_30</f>
        <v/>
      </c>
      <c r="K66" s="47" t="str">
        <f aca="false">IF((LEN(E66)-LEN(SUBSTITUTE(E66,".","")))/LEN(".")=1,"p","")</f>
        <v/>
      </c>
      <c r="L66" s="47" t="n">
        <f aca="false">_xlfn.iferror(MATCH("есть",B_FHD_FLAG_INDEX_1,0),0)</f>
        <v>0</v>
      </c>
      <c r="M66" s="47"/>
      <c r="R66" s="47"/>
      <c r="U66" s="590"/>
    </row>
    <row r="67" s="45" customFormat="true" ht="22.5" hidden="false" customHeight="true" outlineLevel="0" collapsed="false">
      <c r="A67" s="612" t="s">
        <v>597</v>
      </c>
      <c r="C67" s="47"/>
      <c r="D67" s="113"/>
      <c r="E67" s="591" t="str">
        <f aca="false">FHD_NUM_P_31</f>
        <v>2.13</v>
      </c>
      <c r="F67" s="557" t="str">
        <f aca="false">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45" t="s">
        <v>573</v>
      </c>
      <c r="H67" s="610"/>
      <c r="I67" s="610"/>
      <c r="J67" s="420" t="str">
        <f aca="false">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47" t="str">
        <f aca="false">IF((LEN(E67)-LEN(SUBSTITUTE(E67,".","")))/LEN(".")=1,"p","")</f>
        <v>p</v>
      </c>
      <c r="L67" s="47"/>
      <c r="M67" s="47"/>
      <c r="R67" s="47"/>
      <c r="U67" s="590"/>
    </row>
    <row r="68" s="45" customFormat="true" ht="45" hidden="false" customHeight="true" outlineLevel="0" collapsed="false">
      <c r="A68" s="612"/>
      <c r="C68" s="47"/>
      <c r="D68" s="113"/>
      <c r="E68" s="591" t="str">
        <f aca="false">FHD_NUM_P_32</f>
        <v>2.13.1</v>
      </c>
      <c r="F68" s="626" t="str">
        <f aca="false">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45" t="s">
        <v>322</v>
      </c>
      <c r="H68" s="338" t="s">
        <v>596</v>
      </c>
      <c r="I68" s="338" t="s">
        <v>596</v>
      </c>
      <c r="J68" s="420" t="str">
        <f aca="false">FHD_NOTE_P_32</f>
        <v/>
      </c>
      <c r="K68" s="47" t="str">
        <f aca="false">IF((LEN(E68)-LEN(SUBSTITUTE(E68,".","")))/LEN(".")=1,"p","")</f>
        <v/>
      </c>
      <c r="L68" s="47" t="n">
        <f aca="false">_xlfn.iferror(MATCH("есть",B_FHD_FLAG_INDEX_2,0),0)</f>
        <v>0</v>
      </c>
      <c r="M68" s="47"/>
      <c r="R68" s="47"/>
      <c r="U68" s="590"/>
    </row>
    <row r="69" s="45" customFormat="true" ht="11.25" hidden="false" customHeight="true" outlineLevel="0" collapsed="false">
      <c r="A69" s="589"/>
      <c r="C69" s="47"/>
      <c r="D69" s="113"/>
      <c r="E69" s="591" t="str">
        <f aca="false">FHD_NUM_P_33</f>
        <v>2.14</v>
      </c>
      <c r="F69" s="557" t="str">
        <f aca="false">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66" t="s">
        <v>573</v>
      </c>
      <c r="H69" s="633" t="n">
        <f aca="false">SUM(H70:H71)</f>
        <v>0</v>
      </c>
      <c r="I69" s="633" t="n">
        <f aca="false">SUM(I70:I71)</f>
        <v>0</v>
      </c>
      <c r="J69" s="420" t="str">
        <f aca="false">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47" t="str">
        <f aca="false">IF((LEN(E69)-LEN(SUBSTITUTE(E69,".","")))/LEN(".")=1,"p","")</f>
        <v>p</v>
      </c>
      <c r="L69" s="47"/>
      <c r="M69" s="47"/>
      <c r="R69" s="47"/>
      <c r="U69" s="590"/>
    </row>
    <row r="70" s="47" customFormat="true" ht="0.75" hidden="false" customHeight="true" outlineLevel="0" collapsed="false">
      <c r="A70" s="459"/>
      <c r="D70" s="459"/>
      <c r="E70" s="146" t="str">
        <f aca="false">E69&amp;".0"</f>
        <v>2.14.0</v>
      </c>
      <c r="F70" s="634"/>
      <c r="G70" s="146"/>
      <c r="H70" s="635"/>
      <c r="I70" s="635"/>
      <c r="J70" s="636"/>
      <c r="K70" s="47" t="str">
        <f aca="false">IF((LEN(E70)-LEN(SUBSTITUTE(E70,".","")))/LEN(".")=1,"p","")</f>
        <v/>
      </c>
    </row>
    <row r="71" s="45" customFormat="true" ht="14.25" hidden="false" customHeight="true" outlineLevel="0" collapsed="false">
      <c r="A71" s="589"/>
      <c r="C71" s="47"/>
      <c r="D71" s="116"/>
      <c r="E71" s="623"/>
      <c r="F71" s="211" t="s">
        <v>598</v>
      </c>
      <c r="G71" s="624"/>
      <c r="H71" s="625"/>
      <c r="I71" s="625"/>
      <c r="J71" s="478"/>
      <c r="K71" s="47"/>
      <c r="L71" s="47"/>
      <c r="M71" s="47"/>
      <c r="R71" s="47"/>
      <c r="U71" s="590"/>
    </row>
    <row r="72" s="45" customFormat="true" ht="18.75" hidden="true" customHeight="true" outlineLevel="0" collapsed="false">
      <c r="A72" s="628" t="s">
        <v>599</v>
      </c>
      <c r="C72" s="47"/>
      <c r="D72" s="113"/>
      <c r="E72" s="591" t="str">
        <f aca="false">FHD_NUM_P_34</f>
        <v/>
      </c>
      <c r="F72" s="609" t="str">
        <f aca="false">FHD_P_34</f>
        <v/>
      </c>
      <c r="G72" s="145" t="s">
        <v>573</v>
      </c>
      <c r="H72" s="610"/>
      <c r="I72" s="610"/>
      <c r="J72" s="420" t="str">
        <f aca="false">FHD_NOTE_P_34</f>
        <v/>
      </c>
      <c r="K72" s="593"/>
      <c r="L72" s="47"/>
      <c r="M72" s="47"/>
      <c r="R72" s="47"/>
      <c r="U72" s="590"/>
    </row>
    <row r="73" s="45" customFormat="true" ht="18.75" hidden="false" customHeight="true" outlineLevel="0" collapsed="false">
      <c r="A73" s="589"/>
      <c r="C73" s="47"/>
      <c r="D73" s="629"/>
      <c r="E73" s="591" t="str">
        <f aca="false">FHD_NUM_P_35</f>
        <v>3</v>
      </c>
      <c r="F73" s="609" t="str">
        <f aca="false">FHD_P_35</f>
        <v>Чистая прибыль, полученная от регулируемого вида деятельности в сфере горячего водоснабжения, в том числе:</v>
      </c>
      <c r="G73" s="145" t="s">
        <v>573</v>
      </c>
      <c r="H73" s="610"/>
      <c r="I73" s="610"/>
      <c r="J73" s="420" t="str">
        <f aca="false">FHD_NOTE_P_35</f>
        <v>Указывается общая сумма чистой прибыли, полученной от регулируемого вида деятельности.</v>
      </c>
      <c r="K73" s="593"/>
      <c r="L73" s="47"/>
      <c r="M73" s="47"/>
      <c r="R73" s="47"/>
      <c r="U73" s="590"/>
    </row>
    <row r="74" s="45" customFormat="true" ht="18.75" hidden="false" customHeight="true" outlineLevel="0" collapsed="false">
      <c r="A74" s="589"/>
      <c r="C74" s="47"/>
      <c r="D74" s="113"/>
      <c r="E74" s="591" t="str">
        <f aca="false">FHD_NUM_P_36</f>
        <v>3.1</v>
      </c>
      <c r="F74" s="557"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45" t="s">
        <v>573</v>
      </c>
      <c r="H74" s="610"/>
      <c r="I74" s="610"/>
      <c r="J74" s="420" t="str">
        <f aca="false">FHD_NOTE_P_36</f>
        <v/>
      </c>
      <c r="K74" s="593"/>
      <c r="L74" s="47"/>
      <c r="M74" s="47"/>
      <c r="R74" s="47"/>
      <c r="U74" s="590"/>
    </row>
    <row r="75" s="45" customFormat="true" ht="18.75" hidden="false" customHeight="true" outlineLevel="0" collapsed="false">
      <c r="A75" s="589"/>
      <c r="C75" s="47"/>
      <c r="D75" s="113"/>
      <c r="E75" s="591" t="str">
        <f aca="false">FHD_NUM_P_37</f>
        <v>4</v>
      </c>
      <c r="F75" s="609" t="str">
        <f aca="false">FHD_P_37</f>
        <v>Изменение стоимости основных фондов, в том числе:</v>
      </c>
      <c r="G75" s="145" t="s">
        <v>573</v>
      </c>
      <c r="H75" s="610"/>
      <c r="I75" s="610"/>
      <c r="J75" s="420" t="str">
        <f aca="false">FHD_NOTE_P_37</f>
        <v>Указывается общее изменение стоимости основных фондов.</v>
      </c>
      <c r="K75" s="593"/>
      <c r="L75" s="47"/>
      <c r="M75" s="47"/>
      <c r="R75" s="47"/>
      <c r="U75" s="590"/>
    </row>
    <row r="76" s="45" customFormat="true" ht="18.75" hidden="false" customHeight="true" outlineLevel="0" collapsed="false">
      <c r="A76" s="589"/>
      <c r="C76" s="47"/>
      <c r="D76" s="113"/>
      <c r="E76" s="591" t="str">
        <f aca="false">FHD_NUM_P_38</f>
        <v>4.1</v>
      </c>
      <c r="F76" s="557" t="str">
        <f aca="false">FHD_P_38</f>
        <v>Изменение стоимости основных фондов за счет их ввода в эксплуатацию (вывода из эксплуатации)</v>
      </c>
      <c r="G76" s="145" t="s">
        <v>573</v>
      </c>
      <c r="H76" s="610"/>
      <c r="I76" s="610"/>
      <c r="J76" s="420" t="str">
        <f aca="false">FHD_NOTE_P_38</f>
        <v>Указываются общее изменение стоимости основных фондов за счет их ввода в эксплуатацию и вывода из эксплуатации.</v>
      </c>
      <c r="K76" s="593"/>
      <c r="L76" s="47"/>
      <c r="M76" s="47"/>
      <c r="R76" s="47"/>
      <c r="U76" s="590"/>
    </row>
    <row r="77" s="45" customFormat="true" ht="18.75" hidden="false" customHeight="true" outlineLevel="0" collapsed="false">
      <c r="A77" s="589"/>
      <c r="C77" s="47"/>
      <c r="D77" s="113"/>
      <c r="E77" s="591" t="str">
        <f aca="false">FHD_NUM_P_39</f>
        <v>4.1.1</v>
      </c>
      <c r="F77" s="626" t="str">
        <f aca="false">FHD_P_39</f>
        <v>Изменение стоимости основных фондов за счет их ввода в эксплуатацию</v>
      </c>
      <c r="G77" s="145" t="s">
        <v>573</v>
      </c>
      <c r="H77" s="610"/>
      <c r="I77" s="610"/>
      <c r="J77" s="420" t="str">
        <f aca="false">FHD_NOTE_P_39</f>
        <v>Указываются изменение стоимости основных фондов за счет их ввода в эксплуатацию.</v>
      </c>
      <c r="K77" s="593"/>
      <c r="L77" s="47"/>
      <c r="M77" s="47"/>
      <c r="R77" s="47"/>
      <c r="U77" s="590"/>
    </row>
    <row r="78" s="45" customFormat="true" ht="18.75" hidden="false" customHeight="true" outlineLevel="0" collapsed="false">
      <c r="A78" s="589"/>
      <c r="C78" s="47"/>
      <c r="D78" s="113"/>
      <c r="E78" s="591" t="str">
        <f aca="false">FHD_NUM_P_40</f>
        <v>4.1.2</v>
      </c>
      <c r="F78" s="626" t="str">
        <f aca="false">FHD_P_40</f>
        <v>Изменение стоимости основных фондов за счет их вывода в эксплуатацию</v>
      </c>
      <c r="G78" s="145" t="s">
        <v>573</v>
      </c>
      <c r="H78" s="610"/>
      <c r="I78" s="610"/>
      <c r="J78" s="420" t="str">
        <f aca="false">FHD_NOTE_P_40</f>
        <v>Указываются изменение стоимости основных фондов за счет их вывода из эксплуатации.</v>
      </c>
      <c r="K78" s="593"/>
      <c r="L78" s="47"/>
      <c r="M78" s="47"/>
      <c r="R78" s="47"/>
      <c r="U78" s="590"/>
    </row>
    <row r="79" s="45" customFormat="true" ht="18.75" hidden="false" customHeight="true" outlineLevel="0" collapsed="false">
      <c r="A79" s="589"/>
      <c r="C79" s="47"/>
      <c r="D79" s="113"/>
      <c r="E79" s="591" t="str">
        <f aca="false">FHD_NUM_P_41</f>
        <v>4.2</v>
      </c>
      <c r="F79" s="557" t="str">
        <f aca="false">FHD_P_41</f>
        <v>Изменение стоимости основных фондов за счет их переоценки</v>
      </c>
      <c r="G79" s="266" t="s">
        <v>573</v>
      </c>
      <c r="H79" s="610"/>
      <c r="I79" s="610"/>
      <c r="J79" s="420" t="str">
        <f aca="false">FHD_NOTE_P_41</f>
        <v/>
      </c>
      <c r="K79" s="593"/>
      <c r="L79" s="47"/>
      <c r="M79" s="47"/>
      <c r="R79" s="47"/>
      <c r="U79" s="590"/>
    </row>
    <row r="80" s="45" customFormat="true" ht="18.75" hidden="false" customHeight="true" outlineLevel="0" collapsed="false">
      <c r="A80" s="628" t="s">
        <v>600</v>
      </c>
      <c r="C80" s="47"/>
      <c r="D80" s="113"/>
      <c r="E80" s="591" t="str">
        <f aca="false">FHD_NUM_P_42</f>
        <v>5</v>
      </c>
      <c r="F80" s="609" t="str">
        <f aca="false">FHD_P_42</f>
        <v>Валовая прибыль (убытки) от продажи товаров и услуг по регулируемым видам деятельности в сфере горячего водоснабжения</v>
      </c>
      <c r="G80" s="145" t="s">
        <v>573</v>
      </c>
      <c r="H80" s="637"/>
      <c r="I80" s="610"/>
      <c r="J80" s="420" t="str">
        <f aca="false">FHD_NOTE_P_42</f>
        <v/>
      </c>
      <c r="K80" s="593"/>
      <c r="L80" s="47"/>
      <c r="M80" s="47"/>
      <c r="R80" s="47"/>
      <c r="U80" s="590"/>
    </row>
    <row r="81" s="45" customFormat="true" ht="18.75" hidden="false" customHeight="true" outlineLevel="0" collapsed="false">
      <c r="A81" s="589"/>
      <c r="C81" s="47"/>
      <c r="D81" s="113"/>
      <c r="E81" s="591" t="str">
        <f aca="false">FHD_NUM_P_43</f>
        <v>6</v>
      </c>
      <c r="F81" s="609" t="str">
        <f aca="false">FHD_P_43</f>
        <v>Годовая бухгалтерская (финансовая) отчетность, включая бухгалтерский баланс и приложения к нему</v>
      </c>
      <c r="G81" s="145" t="s">
        <v>322</v>
      </c>
      <c r="H81" s="638"/>
      <c r="I81" s="639"/>
      <c r="J81" s="420" t="str">
        <f aca="false">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93"/>
      <c r="L81" s="47"/>
      <c r="M81" s="47"/>
      <c r="R81" s="47"/>
      <c r="U81" s="590"/>
    </row>
    <row r="82" s="45" customFormat="true" ht="18.75" hidden="true" customHeight="true" outlineLevel="0" collapsed="false">
      <c r="A82" s="612" t="s">
        <v>601</v>
      </c>
      <c r="C82" s="47"/>
      <c r="D82" s="113"/>
      <c r="E82" s="591" t="str">
        <f aca="false">FHD_NUM_P_44</f>
        <v/>
      </c>
      <c r="F82" s="609" t="str">
        <f aca="false">FHD_P_44</f>
        <v/>
      </c>
      <c r="G82" s="145" t="s">
        <v>602</v>
      </c>
      <c r="H82" s="640"/>
      <c r="I82" s="630"/>
      <c r="J82" s="420" t="str">
        <f aca="false">FHD_NOTE_P_44</f>
        <v/>
      </c>
      <c r="K82" s="593"/>
      <c r="L82" s="47"/>
      <c r="M82" s="47"/>
      <c r="R82" s="47"/>
      <c r="U82" s="590"/>
    </row>
    <row r="83" s="45" customFormat="true" ht="18.75" hidden="true" customHeight="true" outlineLevel="0" collapsed="false">
      <c r="A83" s="612"/>
      <c r="C83" s="47"/>
      <c r="D83" s="113"/>
      <c r="E83" s="591" t="str">
        <f aca="false">FHD_NUM_P_45</f>
        <v/>
      </c>
      <c r="F83" s="609" t="str">
        <f aca="false">FHD_P_45</f>
        <v/>
      </c>
      <c r="G83" s="145" t="s">
        <v>602</v>
      </c>
      <c r="H83" s="640"/>
      <c r="I83" s="630"/>
      <c r="J83" s="420" t="str">
        <f aca="false">FHD_NOTE_P_45</f>
        <v/>
      </c>
      <c r="K83" s="593"/>
      <c r="L83" s="47"/>
      <c r="M83" s="47"/>
      <c r="R83" s="47"/>
      <c r="U83" s="590"/>
    </row>
    <row r="84" s="45" customFormat="true" ht="18.75" hidden="true" customHeight="true" outlineLevel="0" collapsed="false">
      <c r="A84" s="612"/>
      <c r="C84" s="47"/>
      <c r="D84" s="629"/>
      <c r="E84" s="591" t="str">
        <f aca="false">FHD_NUM_P_46</f>
        <v/>
      </c>
      <c r="F84" s="609" t="str">
        <f aca="false">FHD_P_46</f>
        <v/>
      </c>
      <c r="G84" s="145" t="s">
        <v>602</v>
      </c>
      <c r="H84" s="640"/>
      <c r="I84" s="630"/>
      <c r="J84" s="420" t="str">
        <f aca="false">FHD_NOTE_P_46</f>
        <v/>
      </c>
      <c r="K84" s="593"/>
      <c r="L84" s="47"/>
      <c r="M84" s="47"/>
      <c r="R84" s="47"/>
      <c r="U84" s="590"/>
    </row>
    <row r="85" s="45" customFormat="true" ht="18.75" hidden="true" customHeight="true" outlineLevel="0" collapsed="false">
      <c r="A85" s="612"/>
      <c r="C85" s="47"/>
      <c r="D85" s="113"/>
      <c r="E85" s="591" t="str">
        <f aca="false">FHD_NUM_P_47</f>
        <v/>
      </c>
      <c r="F85" s="609" t="str">
        <f aca="false">FHD_P_47</f>
        <v/>
      </c>
      <c r="G85" s="145" t="s">
        <v>602</v>
      </c>
      <c r="H85" s="640"/>
      <c r="I85" s="630"/>
      <c r="J85" s="420" t="str">
        <f aca="false">FHD_NOTE_P_47</f>
        <v/>
      </c>
      <c r="K85" s="593"/>
      <c r="L85" s="47"/>
      <c r="M85" s="47"/>
      <c r="R85" s="47"/>
      <c r="U85" s="590"/>
    </row>
    <row r="86" s="42" customFormat="true" ht="18.75" hidden="true" customHeight="true" outlineLevel="0" collapsed="false">
      <c r="A86" s="612"/>
      <c r="B86" s="45"/>
      <c r="C86" s="47"/>
      <c r="D86" s="113"/>
      <c r="E86" s="591" t="str">
        <f aca="false">FHD_NUM_P_48</f>
        <v/>
      </c>
      <c r="F86" s="609" t="str">
        <f aca="false">FHD_P_48</f>
        <v/>
      </c>
      <c r="G86" s="145" t="s">
        <v>602</v>
      </c>
      <c r="H86" s="640"/>
      <c r="I86" s="630"/>
      <c r="J86" s="420" t="str">
        <f aca="false">FHD_NOTE_P_48</f>
        <v/>
      </c>
      <c r="K86" s="593"/>
      <c r="L86" s="47"/>
      <c r="M86" s="47"/>
      <c r="N86" s="45"/>
      <c r="O86" s="45"/>
      <c r="P86" s="45"/>
      <c r="Q86" s="45"/>
      <c r="R86" s="47"/>
      <c r="S86" s="45"/>
      <c r="T86" s="45"/>
      <c r="U86" s="590"/>
      <c r="V86" s="45"/>
      <c r="W86" s="45"/>
      <c r="X86" s="45"/>
      <c r="Y86" s="45"/>
      <c r="Z86" s="45"/>
      <c r="AA86" s="45"/>
      <c r="AB86" s="45"/>
      <c r="AC86" s="45"/>
      <c r="AD86" s="45"/>
      <c r="AE86" s="45"/>
    </row>
    <row r="87" s="42" customFormat="true" ht="18.75" hidden="true" customHeight="true" outlineLevel="0" collapsed="false">
      <c r="A87" s="612"/>
      <c r="B87" s="45"/>
      <c r="C87" s="47"/>
      <c r="D87" s="113"/>
      <c r="E87" s="591" t="str">
        <f aca="false">FHD_NUM_P_49</f>
        <v/>
      </c>
      <c r="F87" s="609" t="str">
        <f aca="false">FHD_P_49</f>
        <v/>
      </c>
      <c r="G87" s="145" t="s">
        <v>602</v>
      </c>
      <c r="H87" s="641" t="n">
        <f aca="false">SUM(H88:H89)</f>
        <v>0</v>
      </c>
      <c r="I87" s="642" t="n">
        <f aca="false">SUM(I88:I89)</f>
        <v>0</v>
      </c>
      <c r="J87" s="420" t="str">
        <f aca="false">FHD_NOTE_P_49</f>
        <v/>
      </c>
      <c r="K87" s="593"/>
      <c r="L87" s="47"/>
      <c r="M87" s="47"/>
      <c r="N87" s="45"/>
      <c r="O87" s="45"/>
      <c r="P87" s="45"/>
      <c r="Q87" s="45"/>
      <c r="R87" s="47"/>
      <c r="S87" s="45"/>
      <c r="T87" s="45"/>
      <c r="U87" s="590"/>
      <c r="V87" s="45"/>
      <c r="W87" s="45"/>
      <c r="X87" s="45"/>
      <c r="Y87" s="45"/>
      <c r="Z87" s="45"/>
      <c r="AA87" s="45"/>
      <c r="AB87" s="45"/>
      <c r="AC87" s="45"/>
      <c r="AD87" s="45"/>
      <c r="AE87" s="45"/>
    </row>
    <row r="88" s="42" customFormat="true" ht="18.75" hidden="true" customHeight="true" outlineLevel="0" collapsed="false">
      <c r="A88" s="612"/>
      <c r="B88" s="45"/>
      <c r="C88" s="47"/>
      <c r="D88" s="113"/>
      <c r="E88" s="591" t="str">
        <f aca="false">FHD_NUM_P_50</f>
        <v/>
      </c>
      <c r="F88" s="609" t="str">
        <f aca="false">FHD_P_50</f>
        <v/>
      </c>
      <c r="G88" s="145" t="s">
        <v>602</v>
      </c>
      <c r="H88" s="640"/>
      <c r="I88" s="630"/>
      <c r="J88" s="420" t="str">
        <f aca="false">FHD_NOTE_P_50</f>
        <v/>
      </c>
      <c r="K88" s="593"/>
      <c r="L88" s="47"/>
      <c r="M88" s="47"/>
      <c r="N88" s="45"/>
      <c r="O88" s="45"/>
      <c r="P88" s="45"/>
      <c r="Q88" s="45"/>
      <c r="R88" s="47"/>
      <c r="S88" s="45"/>
      <c r="T88" s="45"/>
      <c r="U88" s="590"/>
      <c r="V88" s="45"/>
      <c r="W88" s="45"/>
      <c r="X88" s="45"/>
      <c r="Y88" s="45"/>
      <c r="Z88" s="45"/>
      <c r="AA88" s="45"/>
      <c r="AB88" s="45"/>
      <c r="AC88" s="45"/>
      <c r="AD88" s="45"/>
      <c r="AE88" s="45"/>
    </row>
    <row r="89" s="42" customFormat="true" ht="18.75" hidden="true" customHeight="true" outlineLevel="0" collapsed="false">
      <c r="A89" s="612"/>
      <c r="B89" s="45"/>
      <c r="C89" s="47"/>
      <c r="D89" s="113"/>
      <c r="E89" s="591" t="str">
        <f aca="false">FHD_NUM_P_51</f>
        <v/>
      </c>
      <c r="F89" s="609" t="str">
        <f aca="false">FHD_P_51</f>
        <v/>
      </c>
      <c r="G89" s="145" t="s">
        <v>602</v>
      </c>
      <c r="H89" s="640"/>
      <c r="I89" s="630"/>
      <c r="J89" s="420" t="str">
        <f aca="false">FHD_NOTE_P_51</f>
        <v/>
      </c>
      <c r="K89" s="593"/>
      <c r="L89" s="47"/>
      <c r="M89" s="47"/>
      <c r="N89" s="45"/>
      <c r="O89" s="45"/>
      <c r="P89" s="45"/>
      <c r="Q89" s="45"/>
      <c r="R89" s="47"/>
      <c r="S89" s="45"/>
      <c r="T89" s="45"/>
      <c r="U89" s="590"/>
      <c r="V89" s="45"/>
      <c r="W89" s="45"/>
      <c r="X89" s="45"/>
      <c r="Y89" s="45"/>
      <c r="Z89" s="45"/>
      <c r="AA89" s="45"/>
      <c r="AB89" s="45"/>
      <c r="AC89" s="45"/>
      <c r="AD89" s="45"/>
      <c r="AE89" s="45"/>
    </row>
    <row r="90" s="42" customFormat="true" ht="18.75" hidden="true" customHeight="true" outlineLevel="0" collapsed="false">
      <c r="A90" s="612"/>
      <c r="B90" s="45"/>
      <c r="C90" s="47"/>
      <c r="D90" s="113"/>
      <c r="E90" s="591" t="str">
        <f aca="false">FHD_NUM_P_52</f>
        <v/>
      </c>
      <c r="F90" s="609" t="str">
        <f aca="false">FHD_P_52</f>
        <v/>
      </c>
      <c r="G90" s="145" t="s">
        <v>579</v>
      </c>
      <c r="H90" s="637"/>
      <c r="I90" s="610"/>
      <c r="J90" s="420" t="str">
        <f aca="false">FHD_NOTE_P_52</f>
        <v/>
      </c>
      <c r="K90" s="593"/>
      <c r="L90" s="47"/>
      <c r="M90" s="47"/>
      <c r="N90" s="45"/>
      <c r="O90" s="45"/>
      <c r="P90" s="45"/>
      <c r="Q90" s="45"/>
      <c r="R90" s="47"/>
      <c r="S90" s="45"/>
      <c r="T90" s="45"/>
      <c r="U90" s="590"/>
      <c r="V90" s="45"/>
      <c r="W90" s="45"/>
      <c r="X90" s="45"/>
      <c r="Y90" s="45"/>
      <c r="Z90" s="45"/>
      <c r="AA90" s="45"/>
      <c r="AB90" s="45"/>
      <c r="AC90" s="45"/>
      <c r="AD90" s="45"/>
      <c r="AE90" s="45"/>
    </row>
    <row r="91" s="45" customFormat="true" ht="18.75" hidden="false" customHeight="true" outlineLevel="0" collapsed="false">
      <c r="A91" s="612" t="s">
        <v>603</v>
      </c>
      <c r="C91" s="47"/>
      <c r="D91" s="113"/>
      <c r="E91" s="591" t="str">
        <f aca="false">FHD_NUM_P_53</f>
        <v>7</v>
      </c>
      <c r="F91" s="609" t="str">
        <f aca="false">FHD_P_53</f>
        <v>Объём приобретаемой холодной воды, используемой для горячего водоснабжения</v>
      </c>
      <c r="G91" s="145" t="s">
        <v>602</v>
      </c>
      <c r="H91" s="640"/>
      <c r="I91" s="630"/>
      <c r="J91" s="420" t="str">
        <f aca="false">FHD_NOTE_P_53</f>
        <v/>
      </c>
      <c r="K91" s="593"/>
      <c r="L91" s="47"/>
      <c r="M91" s="47"/>
      <c r="R91" s="47"/>
      <c r="U91" s="590"/>
    </row>
    <row r="92" s="45" customFormat="true" ht="18.75" hidden="false" customHeight="true" outlineLevel="0" collapsed="false">
      <c r="A92" s="612"/>
      <c r="C92" s="47"/>
      <c r="D92" s="113"/>
      <c r="E92" s="591" t="str">
        <f aca="false">FHD_NUM_P_54</f>
        <v>8</v>
      </c>
      <c r="F92" s="609" t="str">
        <f aca="false">FHD_P_54</f>
        <v>Объём холодной воды, получаемой с применением собственных источников водозабора (скважин) и используемой для горячего водоснабжения</v>
      </c>
      <c r="G92" s="145" t="s">
        <v>602</v>
      </c>
      <c r="H92" s="640"/>
      <c r="I92" s="630"/>
      <c r="J92" s="420" t="str">
        <f aca="false">FHD_NOTE_P_54</f>
        <v/>
      </c>
      <c r="K92" s="593"/>
      <c r="L92" s="47"/>
      <c r="M92" s="47"/>
      <c r="R92" s="47"/>
      <c r="U92" s="590"/>
    </row>
    <row r="93" s="45" customFormat="true" ht="18.75" hidden="false" customHeight="true" outlineLevel="0" collapsed="false">
      <c r="A93" s="612"/>
      <c r="C93" s="47"/>
      <c r="D93" s="629"/>
      <c r="E93" s="591" t="str">
        <f aca="false">FHD_NUM_P_55</f>
        <v>9</v>
      </c>
      <c r="F93" s="609" t="str">
        <f aca="false">FHD_P_55</f>
        <v>Объём приобретаемой тепловой энергии (мощности), используемой для горячего водоснабжения</v>
      </c>
      <c r="G93" s="555"/>
      <c r="H93" s="640"/>
      <c r="I93" s="630"/>
      <c r="J93" s="420" t="str">
        <f aca="false">FHD_NOTE_P_55</f>
        <v/>
      </c>
      <c r="K93" s="593"/>
      <c r="L93" s="47"/>
      <c r="M93" s="47"/>
      <c r="R93" s="47"/>
      <c r="U93" s="590"/>
    </row>
    <row r="94" s="45" customFormat="true" ht="18.75" hidden="false" customHeight="true" outlineLevel="0" collapsed="false">
      <c r="A94" s="612"/>
      <c r="C94" s="47"/>
      <c r="D94" s="113"/>
      <c r="E94" s="591" t="str">
        <f aca="false">FHD_NUM_P_56</f>
        <v>10</v>
      </c>
      <c r="F94" s="609" t="str">
        <f aca="false">FHD_P_56</f>
        <v>Объём тепловой энергии, производимой с применением собственных источников и используемой для горячего водоснабжения</v>
      </c>
      <c r="G94" s="145" t="s">
        <v>604</v>
      </c>
      <c r="H94" s="640"/>
      <c r="I94" s="630"/>
      <c r="J94" s="420" t="str">
        <f aca="false">FHD_NOTE_P_56</f>
        <v/>
      </c>
      <c r="K94" s="593"/>
      <c r="L94" s="47"/>
      <c r="M94" s="47"/>
      <c r="R94" s="47"/>
      <c r="U94" s="590"/>
    </row>
    <row r="95" s="42" customFormat="true" ht="18.75" hidden="false" customHeight="true" outlineLevel="0" collapsed="false">
      <c r="A95" s="612"/>
      <c r="B95" s="45"/>
      <c r="C95" s="47"/>
      <c r="D95" s="113"/>
      <c r="E95" s="591" t="str">
        <f aca="false">FHD_NUM_P_57</f>
        <v>11</v>
      </c>
      <c r="F95" s="609" t="str">
        <f aca="false">FHD_P_57</f>
        <v>Потери горячей воды в сетях (процентов)</v>
      </c>
      <c r="G95" s="145" t="s">
        <v>579</v>
      </c>
      <c r="H95" s="637"/>
      <c r="I95" s="610"/>
      <c r="J95" s="420" t="str">
        <f aca="false">FHD_NOTE_P_57</f>
        <v/>
      </c>
      <c r="K95" s="593"/>
      <c r="L95" s="47"/>
      <c r="M95" s="47"/>
      <c r="N95" s="45"/>
      <c r="O95" s="45"/>
      <c r="P95" s="45"/>
      <c r="Q95" s="45"/>
      <c r="R95" s="47"/>
      <c r="S95" s="45"/>
      <c r="T95" s="45"/>
      <c r="U95" s="590"/>
      <c r="V95" s="45"/>
      <c r="W95" s="45"/>
      <c r="X95" s="45"/>
      <c r="Y95" s="45"/>
      <c r="Z95" s="45"/>
      <c r="AA95" s="45"/>
      <c r="AB95" s="45"/>
      <c r="AC95" s="45"/>
      <c r="AD95" s="45"/>
      <c r="AE95" s="45"/>
    </row>
    <row r="96" customFormat="false" ht="18.75" hidden="true" customHeight="true" outlineLevel="0" collapsed="false">
      <c r="A96" s="612" t="s">
        <v>605</v>
      </c>
      <c r="D96" s="113"/>
      <c r="E96" s="591" t="str">
        <f aca="false">FHD_NUM_P_58</f>
        <v/>
      </c>
      <c r="F96" s="609" t="str">
        <f aca="false">FHD_P_58</f>
        <v/>
      </c>
      <c r="G96" s="145" t="s">
        <v>602</v>
      </c>
      <c r="H96" s="640"/>
      <c r="I96" s="630"/>
      <c r="J96" s="420" t="str">
        <f aca="false">FHD_NOTE_P_58</f>
        <v/>
      </c>
      <c r="K96" s="593"/>
    </row>
    <row r="97" customFormat="false" ht="18.75" hidden="true" customHeight="true" outlineLevel="0" collapsed="false">
      <c r="A97" s="612"/>
      <c r="D97" s="113"/>
      <c r="E97" s="591" t="str">
        <f aca="false">FHD_NUM_P_59</f>
        <v/>
      </c>
      <c r="F97" s="609" t="str">
        <f aca="false">FHD_P_59</f>
        <v/>
      </c>
      <c r="G97" s="145" t="s">
        <v>602</v>
      </c>
      <c r="H97" s="640"/>
      <c r="I97" s="630"/>
      <c r="J97" s="420" t="str">
        <f aca="false">FHD_NOTE_P_59</f>
        <v/>
      </c>
      <c r="K97" s="593"/>
    </row>
    <row r="98" customFormat="false" ht="18.75" hidden="true" customHeight="true" outlineLevel="0" collapsed="false">
      <c r="A98" s="612"/>
      <c r="D98" s="113"/>
      <c r="E98" s="591" t="str">
        <f aca="false">FHD_NUM_P_60</f>
        <v/>
      </c>
      <c r="F98" s="609" t="str">
        <f aca="false">FHD_P_60</f>
        <v/>
      </c>
      <c r="G98" s="145" t="s">
        <v>602</v>
      </c>
      <c r="H98" s="640"/>
      <c r="I98" s="630"/>
      <c r="J98" s="420" t="str">
        <f aca="false">FHD_NOTE_P_60</f>
        <v/>
      </c>
      <c r="K98" s="593"/>
    </row>
    <row r="99" s="45" customFormat="true" ht="18.75" hidden="true" customHeight="true" outlineLevel="0" collapsed="false">
      <c r="A99" s="612" t="s">
        <v>606</v>
      </c>
      <c r="C99" s="47"/>
      <c r="D99" s="113"/>
      <c r="E99" s="591" t="str">
        <f aca="false">FHD_NUM_P_61</f>
        <v/>
      </c>
      <c r="F99" s="609" t="str">
        <f aca="false">FHD_P_61</f>
        <v/>
      </c>
      <c r="G99" s="145" t="s">
        <v>577</v>
      </c>
      <c r="H99" s="643"/>
      <c r="I99" s="644"/>
      <c r="J99" s="420" t="str">
        <f aca="false">FHD_NOTE_P_61</f>
        <v/>
      </c>
      <c r="K99" s="593"/>
      <c r="L99" s="47"/>
      <c r="M99" s="47"/>
      <c r="R99" s="47"/>
      <c r="U99" s="590"/>
    </row>
    <row r="100" s="47" customFormat="true" ht="0.75" hidden="true" customHeight="true" outlineLevel="0" collapsed="false">
      <c r="A100" s="612"/>
      <c r="D100" s="459"/>
      <c r="E100" s="146" t="str">
        <f aca="false">E99&amp;".0"</f>
        <v>.0</v>
      </c>
      <c r="F100" s="645"/>
      <c r="G100" s="646"/>
      <c r="H100" s="635"/>
      <c r="I100" s="635"/>
      <c r="J100" s="647"/>
    </row>
    <row r="101" customFormat="false" ht="15" hidden="true" customHeight="true" outlineLevel="0" collapsed="false">
      <c r="A101" s="612"/>
      <c r="D101" s="116"/>
      <c r="E101" s="648"/>
      <c r="F101" s="649" t="s">
        <v>607</v>
      </c>
      <c r="G101" s="624"/>
      <c r="H101" s="625"/>
      <c r="I101" s="625"/>
      <c r="J101" s="650" t="s">
        <v>608</v>
      </c>
      <c r="K101" s="593"/>
    </row>
    <row r="102" s="45" customFormat="true" ht="18.75" hidden="true" customHeight="true" outlineLevel="0" collapsed="false">
      <c r="A102" s="612"/>
      <c r="C102" s="47"/>
      <c r="D102" s="113"/>
      <c r="E102" s="591" t="str">
        <f aca="false">FHD_NUM_P_62</f>
        <v/>
      </c>
      <c r="F102" s="609" t="str">
        <f aca="false">FHD_P_62</f>
        <v/>
      </c>
      <c r="G102" s="501" t="s">
        <v>577</v>
      </c>
      <c r="H102" s="610"/>
      <c r="I102" s="610"/>
      <c r="J102" s="420" t="str">
        <f aca="false">FHD_NOTE_P_62</f>
        <v/>
      </c>
      <c r="K102" s="593"/>
      <c r="L102" s="47"/>
      <c r="M102" s="47"/>
      <c r="R102" s="47"/>
      <c r="U102" s="590"/>
    </row>
    <row r="103" s="45" customFormat="true" ht="18.75" hidden="true" customHeight="true" outlineLevel="0" collapsed="false">
      <c r="A103" s="612"/>
      <c r="C103" s="47"/>
      <c r="D103" s="113"/>
      <c r="E103" s="591" t="str">
        <f aca="false">FHD_NUM_P_63</f>
        <v/>
      </c>
      <c r="F103" s="609" t="str">
        <f aca="false">FHD_P_63</f>
        <v/>
      </c>
      <c r="G103" s="501" t="s">
        <v>604</v>
      </c>
      <c r="H103" s="630"/>
      <c r="I103" s="630"/>
      <c r="J103" s="420" t="str">
        <f aca="false">FHD_NOTE_P_63</f>
        <v/>
      </c>
      <c r="K103" s="593"/>
      <c r="L103" s="47"/>
      <c r="M103" s="47"/>
      <c r="R103" s="47"/>
      <c r="U103" s="590"/>
    </row>
    <row r="104" s="45" customFormat="true" ht="18.75" hidden="true" customHeight="true" outlineLevel="0" collapsed="false">
      <c r="A104" s="612"/>
      <c r="C104" s="47" t="s">
        <v>609</v>
      </c>
      <c r="D104" s="113"/>
      <c r="E104" s="591" t="str">
        <f aca="false">FHD_NUM_P_64</f>
        <v/>
      </c>
      <c r="F104" s="609" t="str">
        <f aca="false">FHD_P_64</f>
        <v/>
      </c>
      <c r="G104" s="501" t="s">
        <v>604</v>
      </c>
      <c r="H104" s="600"/>
      <c r="I104" s="600"/>
      <c r="J104" s="420" t="str">
        <f aca="false">FHD_NOTE_P_64</f>
        <v/>
      </c>
      <c r="K104" s="593"/>
      <c r="L104" s="47"/>
      <c r="M104" s="47"/>
      <c r="R104" s="47"/>
      <c r="U104" s="590"/>
    </row>
    <row r="105" s="45" customFormat="true" ht="18.75" hidden="true" customHeight="true" outlineLevel="0" collapsed="false">
      <c r="A105" s="612"/>
      <c r="C105" s="47"/>
      <c r="D105" s="113"/>
      <c r="E105" s="591" t="str">
        <f aca="false">FHD_NUM_P_65</f>
        <v/>
      </c>
      <c r="F105" s="609" t="str">
        <f aca="false">FHD_P_65</f>
        <v/>
      </c>
      <c r="G105" s="501" t="s">
        <v>604</v>
      </c>
      <c r="H105" s="630"/>
      <c r="I105" s="630"/>
      <c r="J105" s="420" t="str">
        <f aca="false">FHD_NOTE_P_65</f>
        <v/>
      </c>
      <c r="K105" s="593"/>
      <c r="L105" s="47"/>
      <c r="M105" s="47"/>
      <c r="R105" s="47"/>
      <c r="U105" s="590"/>
    </row>
    <row r="106" s="45" customFormat="true" ht="18.75" hidden="true" customHeight="true" outlineLevel="0" collapsed="false">
      <c r="A106" s="612"/>
      <c r="C106" s="47"/>
      <c r="D106" s="113"/>
      <c r="E106" s="591" t="str">
        <f aca="false">FHD_NUM_P_66</f>
        <v/>
      </c>
      <c r="F106" s="557" t="str">
        <f aca="false">FHD_P_66</f>
        <v/>
      </c>
      <c r="G106" s="501" t="s">
        <v>604</v>
      </c>
      <c r="H106" s="630"/>
      <c r="I106" s="630"/>
      <c r="J106" s="420" t="str">
        <f aca="false">FHD_NOTE_P_66</f>
        <v/>
      </c>
      <c r="K106" s="593"/>
      <c r="L106" s="47"/>
      <c r="M106" s="47"/>
      <c r="R106" s="47"/>
      <c r="U106" s="590"/>
    </row>
    <row r="107" s="45" customFormat="true" ht="18.75" hidden="true" customHeight="true" outlineLevel="0" collapsed="false">
      <c r="A107" s="612"/>
      <c r="C107" s="47"/>
      <c r="D107" s="113"/>
      <c r="E107" s="591" t="str">
        <f aca="false">FHD_NUM_P_67</f>
        <v/>
      </c>
      <c r="F107" s="626" t="str">
        <f aca="false">FHD_P_67</f>
        <v/>
      </c>
      <c r="G107" s="501" t="s">
        <v>604</v>
      </c>
      <c r="H107" s="630"/>
      <c r="I107" s="630"/>
      <c r="J107" s="420" t="str">
        <f aca="false">FHD_NOTE_P_67</f>
        <v/>
      </c>
      <c r="K107" s="593"/>
      <c r="L107" s="47"/>
      <c r="M107" s="47"/>
      <c r="R107" s="47"/>
      <c r="U107" s="590"/>
    </row>
    <row r="108" s="45" customFormat="true" ht="18.75" hidden="true" customHeight="true" outlineLevel="0" collapsed="false">
      <c r="A108" s="612"/>
      <c r="C108" s="47"/>
      <c r="D108" s="113"/>
      <c r="E108" s="591" t="str">
        <f aca="false">FHD_NUM_P_68</f>
        <v/>
      </c>
      <c r="F108" s="557" t="str">
        <f aca="false">FHD_P_68</f>
        <v/>
      </c>
      <c r="G108" s="501" t="s">
        <v>604</v>
      </c>
      <c r="H108" s="630"/>
      <c r="I108" s="630"/>
      <c r="J108" s="420" t="str">
        <f aca="false">FHD_NOTE_P_68</f>
        <v/>
      </c>
      <c r="K108" s="593"/>
      <c r="L108" s="47"/>
      <c r="M108" s="47"/>
      <c r="R108" s="47"/>
      <c r="U108" s="590"/>
    </row>
    <row r="109" s="45" customFormat="true" ht="18.75" hidden="true" customHeight="true" outlineLevel="0" collapsed="false">
      <c r="A109" s="612"/>
      <c r="C109" s="47"/>
      <c r="D109" s="113"/>
      <c r="E109" s="591" t="str">
        <f aca="false">FHD_NUM_P_69</f>
        <v/>
      </c>
      <c r="F109" s="557" t="str">
        <f aca="false">FHD_P_69</f>
        <v/>
      </c>
      <c r="G109" s="501" t="s">
        <v>604</v>
      </c>
      <c r="H109" s="630"/>
      <c r="I109" s="630"/>
      <c r="J109" s="420" t="str">
        <f aca="false">FHD_NOTE_P_69</f>
        <v/>
      </c>
      <c r="K109" s="593"/>
      <c r="L109" s="47"/>
      <c r="M109" s="47"/>
      <c r="R109" s="47"/>
      <c r="U109" s="590"/>
    </row>
    <row r="110" s="45" customFormat="true" ht="22.5" hidden="true" customHeight="true" outlineLevel="0" collapsed="false">
      <c r="A110" s="612"/>
      <c r="C110" s="47"/>
      <c r="D110" s="113"/>
      <c r="E110" s="591" t="str">
        <f aca="false">FHD_NUM_P_70</f>
        <v/>
      </c>
      <c r="F110" s="609" t="str">
        <f aca="false">FHD_P_70</f>
        <v/>
      </c>
      <c r="G110" s="501" t="s">
        <v>610</v>
      </c>
      <c r="H110" s="610"/>
      <c r="I110" s="610"/>
      <c r="J110" s="420" t="str">
        <f aca="false">FHD_NOTE_P_70</f>
        <v/>
      </c>
      <c r="K110" s="593"/>
      <c r="L110" s="47"/>
      <c r="M110" s="47"/>
      <c r="R110" s="47"/>
      <c r="U110" s="590"/>
    </row>
    <row r="111" s="45" customFormat="true" ht="22.5" hidden="true" customHeight="true" outlineLevel="0" collapsed="false">
      <c r="A111" s="612"/>
      <c r="C111" s="47"/>
      <c r="D111" s="113"/>
      <c r="E111" s="591" t="str">
        <f aca="false">FHD_NUM_P_71</f>
        <v/>
      </c>
      <c r="F111" s="609" t="str">
        <f aca="false">FHD_P_71</f>
        <v/>
      </c>
      <c r="G111" s="501" t="s">
        <v>610</v>
      </c>
      <c r="H111" s="610"/>
      <c r="I111" s="610"/>
      <c r="J111" s="420" t="str">
        <f aca="false">FHD_NOTE_P_71</f>
        <v/>
      </c>
      <c r="K111" s="593"/>
      <c r="L111" s="47"/>
      <c r="M111" s="47"/>
      <c r="R111" s="47"/>
      <c r="U111" s="590"/>
    </row>
    <row r="112" customFormat="false" ht="18.75" hidden="false" customHeight="true" outlineLevel="0" collapsed="false">
      <c r="D112" s="113"/>
      <c r="E112" s="591" t="str">
        <f aca="false">FHD_NUM_P_72</f>
        <v>12</v>
      </c>
      <c r="F112" s="609" t="str">
        <f aca="false">FHD_P_72</f>
        <v>Среднесписочная численность основного производственного персонала</v>
      </c>
      <c r="G112" s="501" t="s">
        <v>611</v>
      </c>
      <c r="H112" s="630"/>
      <c r="I112" s="630"/>
      <c r="J112" s="420" t="str">
        <f aca="false">FHD_NOTE_P_72</f>
        <v/>
      </c>
      <c r="K112" s="593"/>
    </row>
    <row r="113" customFormat="false" ht="18.75" hidden="true" customHeight="true" outlineLevel="0" collapsed="false">
      <c r="A113" s="628" t="s">
        <v>612</v>
      </c>
      <c r="D113" s="113"/>
      <c r="E113" s="591" t="str">
        <f aca="false">FHD_NUM_P_73</f>
        <v/>
      </c>
      <c r="F113" s="609" t="str">
        <f aca="false">FHD_P_73</f>
        <v/>
      </c>
      <c r="G113" s="651" t="s">
        <v>611</v>
      </c>
      <c r="H113" s="652"/>
      <c r="I113" s="652"/>
      <c r="J113" s="420" t="str">
        <f aca="false">FHD_NOTE_P_73</f>
        <v/>
      </c>
      <c r="K113" s="593"/>
    </row>
    <row r="114" customFormat="false" ht="33.75" hidden="false" customHeight="true" outlineLevel="0" collapsed="false">
      <c r="A114" s="628" t="s">
        <v>613</v>
      </c>
      <c r="D114" s="113"/>
      <c r="E114" s="591" t="str">
        <f aca="false">FHD_NUM_P_74</f>
        <v>13</v>
      </c>
      <c r="F114" s="609" t="str">
        <f aca="false">FHD_P_74</f>
        <v>Удельный расход электрической энергии на подачу воды в сеть</v>
      </c>
      <c r="G114" s="501" t="s">
        <v>614</v>
      </c>
      <c r="H114" s="630"/>
      <c r="I114" s="630"/>
      <c r="J114" s="420" t="str">
        <f aca="false">FHD_NOTE_P_74</f>
        <v/>
      </c>
      <c r="K114" s="593"/>
    </row>
    <row r="115" s="42" customFormat="true" ht="18.75" hidden="true" customHeight="true" outlineLevel="0" collapsed="false">
      <c r="A115" s="612" t="s">
        <v>615</v>
      </c>
      <c r="B115" s="45"/>
      <c r="C115" s="47"/>
      <c r="D115" s="113"/>
      <c r="E115" s="591" t="str">
        <f aca="false">FHD_NUM_P_75</f>
        <v/>
      </c>
      <c r="F115" s="609" t="str">
        <f aca="false">FHD_P_75</f>
        <v/>
      </c>
      <c r="G115" s="501" t="s">
        <v>579</v>
      </c>
      <c r="H115" s="610"/>
      <c r="I115" s="610"/>
      <c r="J115" s="420" t="str">
        <f aca="false">FHD_NOTE_P_75</f>
        <v/>
      </c>
      <c r="K115" s="593"/>
      <c r="L115" s="47"/>
      <c r="M115" s="47"/>
      <c r="N115" s="45"/>
      <c r="O115" s="45"/>
      <c r="P115" s="45"/>
      <c r="Q115" s="45"/>
      <c r="R115" s="47"/>
      <c r="S115" s="45"/>
      <c r="T115" s="45"/>
      <c r="U115" s="590"/>
      <c r="V115" s="45"/>
      <c r="W115" s="45"/>
      <c r="X115" s="45"/>
      <c r="Y115" s="45"/>
      <c r="Z115" s="45"/>
      <c r="AA115" s="45"/>
      <c r="AB115" s="45"/>
      <c r="AC115" s="45"/>
      <c r="AD115" s="45"/>
      <c r="AE115" s="45"/>
    </row>
    <row r="116" s="42" customFormat="true" ht="18.75" hidden="true" customHeight="true" outlineLevel="0" collapsed="false">
      <c r="A116" s="612"/>
      <c r="B116" s="45"/>
      <c r="C116" s="47"/>
      <c r="D116" s="113"/>
      <c r="E116" s="591" t="str">
        <f aca="false">FHD_NUM_P_76</f>
        <v/>
      </c>
      <c r="F116" s="609" t="str">
        <f aca="false">FHD_P_76</f>
        <v/>
      </c>
      <c r="G116" s="501" t="s">
        <v>579</v>
      </c>
      <c r="H116" s="610"/>
      <c r="I116" s="610"/>
      <c r="J116" s="420" t="str">
        <f aca="false">FHD_NOTE_P_76</f>
        <v/>
      </c>
      <c r="K116" s="593"/>
      <c r="L116" s="47"/>
      <c r="M116" s="47"/>
      <c r="N116" s="45"/>
      <c r="O116" s="45"/>
      <c r="P116" s="45"/>
      <c r="Q116" s="45"/>
      <c r="R116" s="47"/>
      <c r="S116" s="45"/>
      <c r="T116" s="45"/>
      <c r="U116" s="590"/>
      <c r="V116" s="45"/>
      <c r="W116" s="45"/>
      <c r="X116" s="45"/>
      <c r="Y116" s="45"/>
      <c r="Z116" s="45"/>
      <c r="AA116" s="45"/>
      <c r="AB116" s="45"/>
      <c r="AC116" s="45"/>
      <c r="AD116" s="45"/>
      <c r="AE116" s="45"/>
    </row>
    <row r="117" s="42" customFormat="true" ht="18.75" hidden="true" customHeight="true" outlineLevel="0" collapsed="false">
      <c r="A117" s="612"/>
      <c r="B117" s="45"/>
      <c r="C117" s="47"/>
      <c r="D117" s="113"/>
      <c r="E117" s="591" t="str">
        <f aca="false">FHD_NUM_P_77</f>
        <v/>
      </c>
      <c r="F117" s="609" t="str">
        <f aca="false">FHD_P_77</f>
        <v/>
      </c>
      <c r="G117" s="501" t="s">
        <v>579</v>
      </c>
      <c r="H117" s="610"/>
      <c r="I117" s="610"/>
      <c r="J117" s="420" t="str">
        <f aca="false">FHD_NOTE_P_77</f>
        <v/>
      </c>
      <c r="K117" s="593"/>
      <c r="L117" s="47"/>
      <c r="M117" s="47"/>
      <c r="N117" s="45"/>
      <c r="O117" s="45"/>
      <c r="P117" s="45"/>
      <c r="Q117" s="45"/>
      <c r="R117" s="47"/>
      <c r="S117" s="45"/>
      <c r="T117" s="45"/>
      <c r="U117" s="590"/>
      <c r="V117" s="45"/>
      <c r="W117" s="45"/>
      <c r="X117" s="45"/>
      <c r="Y117" s="45"/>
      <c r="Z117" s="45"/>
      <c r="AA117" s="45"/>
      <c r="AB117" s="45"/>
      <c r="AC117" s="45"/>
      <c r="AD117" s="45"/>
      <c r="AE117" s="45"/>
    </row>
    <row r="118" s="47" customFormat="true" ht="0.75" hidden="true" customHeight="true" outlineLevel="0" collapsed="false">
      <c r="A118" s="612"/>
      <c r="D118" s="459"/>
      <c r="E118" s="146" t="str">
        <f aca="false">E117&amp;".0"</f>
        <v>.0</v>
      </c>
      <c r="F118" s="653"/>
      <c r="G118" s="654"/>
      <c r="H118" s="635"/>
      <c r="I118" s="635"/>
      <c r="J118" s="647"/>
    </row>
    <row r="119" s="42" customFormat="true" ht="15" hidden="true" customHeight="true" outlineLevel="0" collapsed="false">
      <c r="A119" s="612"/>
      <c r="B119" s="45"/>
      <c r="C119" s="47"/>
      <c r="D119" s="116"/>
      <c r="E119" s="648"/>
      <c r="F119" s="649" t="s">
        <v>616</v>
      </c>
      <c r="G119" s="624"/>
      <c r="H119" s="625"/>
      <c r="I119" s="625"/>
      <c r="J119" s="650" t="s">
        <v>617</v>
      </c>
      <c r="K119" s="593"/>
      <c r="L119" s="47"/>
      <c r="M119" s="47"/>
      <c r="N119" s="45"/>
      <c r="O119" s="45"/>
      <c r="P119" s="45"/>
      <c r="Q119" s="45"/>
      <c r="R119" s="47"/>
      <c r="S119" s="45"/>
      <c r="T119" s="45"/>
      <c r="U119" s="590"/>
      <c r="V119" s="45"/>
      <c r="W119" s="45"/>
      <c r="X119" s="45"/>
      <c r="Y119" s="45"/>
      <c r="Z119" s="45"/>
      <c r="AA119" s="45"/>
      <c r="AB119" s="45"/>
      <c r="AC119" s="45"/>
      <c r="AD119" s="45"/>
      <c r="AE119" s="45"/>
    </row>
    <row r="120" customFormat="false" ht="22.5" hidden="true" customHeight="true" outlineLevel="0" collapsed="false">
      <c r="A120" s="612" t="s">
        <v>618</v>
      </c>
      <c r="D120" s="113"/>
      <c r="E120" s="591" t="str">
        <f aca="false">FHD_NUM_P_78</f>
        <v/>
      </c>
      <c r="F120" s="609" t="str">
        <f aca="false">FHD_P_78</f>
        <v/>
      </c>
      <c r="G120" s="501" t="s">
        <v>581</v>
      </c>
      <c r="H120" s="630"/>
      <c r="I120" s="630"/>
      <c r="J120" s="420" t="str">
        <f aca="false">FHD_NOTE_P_78</f>
        <v/>
      </c>
      <c r="K120" s="593"/>
    </row>
    <row r="121" s="47" customFormat="true" ht="0.75" hidden="true" customHeight="true" outlineLevel="0" collapsed="false">
      <c r="A121" s="612"/>
      <c r="D121" s="459"/>
      <c r="E121" s="146" t="str">
        <f aca="false">E120&amp;".0"</f>
        <v>.0</v>
      </c>
      <c r="F121" s="653"/>
      <c r="G121" s="654"/>
      <c r="H121" s="635"/>
      <c r="I121" s="635"/>
      <c r="J121" s="647"/>
    </row>
    <row r="122" customFormat="false" ht="15" hidden="true" customHeight="true" outlineLevel="0" collapsed="false">
      <c r="A122" s="612"/>
      <c r="D122" s="116"/>
      <c r="E122" s="623"/>
      <c r="F122" s="160" t="s">
        <v>607</v>
      </c>
      <c r="G122" s="624"/>
      <c r="H122" s="625"/>
      <c r="I122" s="625"/>
      <c r="J122" s="650" t="s">
        <v>619</v>
      </c>
      <c r="K122" s="593"/>
    </row>
    <row r="123" customFormat="false" ht="22.5" hidden="true" customHeight="true" outlineLevel="0" collapsed="false">
      <c r="A123" s="612"/>
      <c r="D123" s="113"/>
      <c r="E123" s="591" t="str">
        <f aca="false">FHD_NUM_P_79</f>
        <v/>
      </c>
      <c r="F123" s="609" t="str">
        <f aca="false">FHD_P_79</f>
        <v/>
      </c>
      <c r="G123" s="145" t="s">
        <v>583</v>
      </c>
      <c r="H123" s="630"/>
      <c r="I123" s="630"/>
      <c r="J123" s="420" t="str">
        <f aca="false">FHD_NOTE_P_79</f>
        <v/>
      </c>
      <c r="K123" s="593"/>
    </row>
    <row r="124" s="47" customFormat="true" ht="0.75" hidden="true" customHeight="true" outlineLevel="0" collapsed="false">
      <c r="A124" s="612"/>
      <c r="D124" s="459"/>
      <c r="E124" s="146" t="str">
        <f aca="false">E123&amp;".0"</f>
        <v>.0</v>
      </c>
      <c r="F124" s="655"/>
      <c r="G124" s="654"/>
      <c r="H124" s="635"/>
      <c r="I124" s="635"/>
      <c r="J124" s="647"/>
    </row>
    <row r="125" customFormat="false" ht="15" hidden="true" customHeight="true" outlineLevel="0" collapsed="false">
      <c r="A125" s="612"/>
      <c r="D125" s="116"/>
      <c r="E125" s="623"/>
      <c r="F125" s="160" t="s">
        <v>607</v>
      </c>
      <c r="G125" s="624"/>
      <c r="H125" s="625"/>
      <c r="I125" s="625"/>
      <c r="J125" s="650" t="s">
        <v>620</v>
      </c>
      <c r="K125" s="593"/>
    </row>
    <row r="126" customFormat="false" ht="22.5" hidden="true" customHeight="true" outlineLevel="0" collapsed="false">
      <c r="A126" s="612"/>
      <c r="D126" s="113"/>
      <c r="E126" s="591" t="str">
        <f aca="false">FHD_NUM_P_80</f>
        <v/>
      </c>
      <c r="F126" s="609" t="str">
        <f aca="false">FHD_P_80</f>
        <v/>
      </c>
      <c r="G126" s="145" t="s">
        <v>621</v>
      </c>
      <c r="H126" s="610"/>
      <c r="I126" s="610"/>
      <c r="J126" s="420" t="str">
        <f aca="false">FHD_NOTE_P_80</f>
        <v/>
      </c>
      <c r="K126" s="593"/>
    </row>
    <row r="127" customFormat="false" ht="18.75" hidden="true" customHeight="true" outlineLevel="0" collapsed="false">
      <c r="A127" s="612"/>
      <c r="D127" s="113"/>
      <c r="E127" s="591" t="str">
        <f aca="false">FHD_NUM_P_81</f>
        <v/>
      </c>
      <c r="F127" s="609" t="str">
        <f aca="false">FHD_P_81</f>
        <v/>
      </c>
      <c r="G127" s="145" t="s">
        <v>622</v>
      </c>
      <c r="H127" s="610"/>
      <c r="I127" s="610"/>
      <c r="J127" s="420" t="str">
        <f aca="false">FHD_NOTE_P_81</f>
        <v/>
      </c>
      <c r="K127" s="593"/>
    </row>
    <row r="128" customFormat="false" ht="18.75" hidden="true" customHeight="true" outlineLevel="0" collapsed="false">
      <c r="A128" s="612"/>
      <c r="C128" s="47" t="s">
        <v>609</v>
      </c>
      <c r="D128" s="113"/>
      <c r="E128" s="591" t="str">
        <f aca="false">FHD_NUM_P_82</f>
        <v/>
      </c>
      <c r="F128" s="609" t="str">
        <f aca="false">FHD_P_82</f>
        <v/>
      </c>
      <c r="G128" s="145" t="s">
        <v>322</v>
      </c>
      <c r="H128" s="639"/>
      <c r="I128" s="639"/>
      <c r="J128" s="420" t="str">
        <f aca="false">FHD_NOTE_P_82</f>
        <v/>
      </c>
      <c r="K128" s="593"/>
    </row>
    <row r="129" customFormat="false" ht="18.75" hidden="true" customHeight="true" outlineLevel="0" collapsed="false">
      <c r="A129" s="612"/>
      <c r="C129" s="47" t="s">
        <v>609</v>
      </c>
      <c r="D129" s="113"/>
      <c r="E129" s="591" t="str">
        <f aca="false">FHD_NUM_P_83</f>
        <v/>
      </c>
      <c r="F129" s="557" t="str">
        <f aca="false">FHD_P_83</f>
        <v/>
      </c>
      <c r="G129" s="145" t="s">
        <v>322</v>
      </c>
      <c r="H129" s="639"/>
      <c r="I129" s="639"/>
      <c r="J129" s="420" t="str">
        <f aca="false">FHD_NOTE_P_83</f>
        <v/>
      </c>
      <c r="K129" s="593"/>
    </row>
    <row r="130" customFormat="false" ht="18.75" hidden="true" customHeight="true" outlineLevel="0" collapsed="false">
      <c r="A130" s="612"/>
      <c r="C130" s="47" t="s">
        <v>609</v>
      </c>
      <c r="D130" s="113"/>
      <c r="E130" s="591" t="str">
        <f aca="false">FHD_NUM_P_84</f>
        <v/>
      </c>
      <c r="F130" s="557" t="str">
        <f aca="false">FHD_P_84</f>
        <v/>
      </c>
      <c r="G130" s="145" t="s">
        <v>322</v>
      </c>
      <c r="H130" s="639"/>
      <c r="I130" s="639"/>
      <c r="J130" s="420" t="str">
        <f aca="false">FHD_NOTE_P_84</f>
        <v/>
      </c>
      <c r="K130" s="593"/>
    </row>
    <row r="131" customFormat="false" ht="11.25" hidden="false" customHeight="true" outlineLevel="0" collapsed="false">
      <c r="D131" s="113"/>
    </row>
    <row r="132" customFormat="false" ht="12.75" hidden="false" customHeight="true" outlineLevel="0" collapsed="false">
      <c r="D132" s="113"/>
      <c r="E132" s="412"/>
      <c r="F132" s="344"/>
      <c r="G132" s="344"/>
      <c r="H132" s="344"/>
      <c r="I132" s="491"/>
      <c r="J132" s="75"/>
    </row>
    <row r="133" s="119" customFormat="true" ht="11.25" hidden="false" customHeight="true" outlineLevel="0" collapsed="false">
      <c r="A133" s="589"/>
      <c r="B133" s="47"/>
      <c r="C133" s="47"/>
      <c r="F133" s="140"/>
      <c r="G133" s="42"/>
      <c r="H133" s="42"/>
      <c r="I133" s="42"/>
      <c r="K133" s="45"/>
      <c r="L133" s="47"/>
      <c r="M133" s="47"/>
      <c r="N133" s="45"/>
      <c r="O133" s="45"/>
      <c r="P133" s="45"/>
      <c r="Q133" s="45"/>
      <c r="R133" s="47"/>
      <c r="S133" s="45"/>
      <c r="T133" s="45"/>
      <c r="U133" s="590"/>
      <c r="V133" s="45"/>
      <c r="W133" s="45"/>
      <c r="X133" s="45"/>
      <c r="Y133" s="45"/>
      <c r="Z133" s="45"/>
      <c r="AA133" s="45"/>
      <c r="AB133" s="47"/>
      <c r="AC133" s="47"/>
      <c r="AD133" s="47"/>
      <c r="AE133" s="47"/>
    </row>
    <row r="134" s="119" customFormat="true" ht="11.25" hidden="false" customHeight="true" outlineLevel="0" collapsed="false">
      <c r="A134" s="589"/>
      <c r="B134" s="47"/>
      <c r="C134" s="47"/>
      <c r="K134" s="45"/>
      <c r="L134" s="47"/>
      <c r="M134" s="47"/>
      <c r="N134" s="45"/>
      <c r="O134" s="45"/>
      <c r="P134" s="45"/>
      <c r="Q134" s="45"/>
      <c r="R134" s="47"/>
      <c r="S134" s="45"/>
      <c r="T134" s="45"/>
      <c r="U134" s="590"/>
      <c r="V134" s="45"/>
      <c r="W134" s="45"/>
      <c r="X134" s="45"/>
      <c r="Y134" s="45"/>
      <c r="Z134" s="45"/>
      <c r="AA134" s="45"/>
      <c r="AB134" s="47"/>
      <c r="AC134" s="47"/>
      <c r="AD134" s="47"/>
      <c r="AE134" s="47"/>
    </row>
    <row r="135" s="119" customFormat="true" ht="11.25" hidden="false" customHeight="true" outlineLevel="0" collapsed="false">
      <c r="A135" s="589"/>
      <c r="B135" s="47"/>
      <c r="C135" s="47"/>
      <c r="K135" s="45"/>
      <c r="L135" s="47"/>
      <c r="M135" s="47"/>
      <c r="N135" s="45"/>
      <c r="O135" s="45"/>
      <c r="P135" s="45"/>
      <c r="Q135" s="45"/>
      <c r="R135" s="47"/>
      <c r="S135" s="45"/>
      <c r="T135" s="45"/>
      <c r="U135" s="590"/>
      <c r="V135" s="45"/>
      <c r="W135" s="45"/>
      <c r="X135" s="45"/>
      <c r="Y135" s="45"/>
      <c r="Z135" s="45"/>
      <c r="AA135" s="45"/>
      <c r="AB135" s="47"/>
      <c r="AC135" s="47"/>
      <c r="AD135" s="47"/>
      <c r="AE135" s="47"/>
    </row>
    <row r="136" s="119" customFormat="true" ht="11.25" hidden="false" customHeight="true" outlineLevel="0" collapsed="false">
      <c r="A136" s="589"/>
      <c r="B136" s="47"/>
      <c r="C136" s="47"/>
      <c r="H136" s="47" t="str">
        <f aca="false">IF(H30-H31&lt;&gt;H72,"WARNING","")</f>
        <v/>
      </c>
      <c r="I136" s="47" t="str">
        <f aca="false">IF(I30-I31&lt;&gt;I72,"WARNING","")</f>
        <v/>
      </c>
      <c r="K136" s="45"/>
      <c r="L136" s="47"/>
      <c r="M136" s="47"/>
      <c r="N136" s="45"/>
      <c r="O136" s="45"/>
      <c r="P136" s="45"/>
      <c r="Q136" s="45"/>
      <c r="R136" s="47"/>
      <c r="S136" s="45"/>
      <c r="T136" s="45"/>
      <c r="U136" s="590"/>
      <c r="V136" s="45"/>
      <c r="W136" s="45"/>
      <c r="X136" s="45"/>
      <c r="Y136" s="45"/>
      <c r="Z136" s="45"/>
      <c r="AA136" s="45"/>
      <c r="AB136" s="47"/>
      <c r="AC136" s="47"/>
      <c r="AD136" s="47"/>
      <c r="AE136" s="47"/>
    </row>
    <row r="137" s="119" customFormat="true" ht="11.25" hidden="false" customHeight="true" outlineLevel="0" collapsed="false">
      <c r="A137" s="589"/>
      <c r="B137" s="47"/>
      <c r="C137" s="47"/>
      <c r="K137" s="45"/>
      <c r="L137" s="47"/>
      <c r="M137" s="47"/>
      <c r="N137" s="45"/>
      <c r="O137" s="45"/>
      <c r="P137" s="45"/>
      <c r="Q137" s="45"/>
      <c r="R137" s="47"/>
      <c r="S137" s="45"/>
      <c r="T137" s="45"/>
      <c r="U137" s="590"/>
      <c r="V137" s="45"/>
      <c r="W137" s="45"/>
      <c r="X137" s="45"/>
      <c r="Y137" s="45"/>
      <c r="Z137" s="45"/>
      <c r="AA137" s="45"/>
      <c r="AB137" s="47"/>
      <c r="AC137" s="47"/>
      <c r="AD137" s="47"/>
      <c r="AE137" s="47"/>
    </row>
    <row r="138" s="119" customFormat="true" ht="11.25" hidden="false" customHeight="true" outlineLevel="0" collapsed="false">
      <c r="A138" s="589"/>
      <c r="B138" s="47"/>
      <c r="C138" s="47"/>
      <c r="K138" s="45"/>
      <c r="L138" s="47"/>
      <c r="M138" s="47"/>
      <c r="N138" s="45"/>
      <c r="O138" s="45"/>
      <c r="P138" s="45"/>
      <c r="Q138" s="45"/>
      <c r="R138" s="47"/>
      <c r="S138" s="45"/>
      <c r="T138" s="45"/>
      <c r="U138" s="590"/>
      <c r="V138" s="45"/>
      <c r="W138" s="45"/>
      <c r="X138" s="45"/>
      <c r="Y138" s="45"/>
      <c r="Z138" s="45"/>
      <c r="AA138" s="45"/>
      <c r="AB138" s="47"/>
      <c r="AC138" s="47"/>
      <c r="AD138" s="47"/>
      <c r="AE138" s="47"/>
    </row>
    <row r="139" s="119" customFormat="true" ht="11.25" hidden="false" customHeight="true" outlineLevel="0" collapsed="false">
      <c r="A139" s="589"/>
      <c r="B139" s="47"/>
      <c r="C139" s="47"/>
      <c r="K139" s="45"/>
      <c r="L139" s="47"/>
      <c r="M139" s="47"/>
      <c r="N139" s="45"/>
      <c r="O139" s="45"/>
      <c r="P139" s="45"/>
      <c r="Q139" s="45"/>
      <c r="R139" s="47"/>
      <c r="S139" s="45"/>
      <c r="T139" s="45"/>
      <c r="U139" s="590"/>
      <c r="V139" s="45"/>
      <c r="W139" s="45"/>
      <c r="X139" s="45"/>
      <c r="Y139" s="45"/>
      <c r="Z139" s="45"/>
      <c r="AA139" s="45"/>
      <c r="AB139" s="47"/>
      <c r="AC139" s="47"/>
      <c r="AD139" s="47"/>
      <c r="AE139" s="47"/>
    </row>
    <row r="140" s="119" customFormat="true" ht="11.25" hidden="false" customHeight="true" outlineLevel="0" collapsed="false">
      <c r="A140" s="589"/>
      <c r="B140" s="47"/>
      <c r="C140" s="47"/>
      <c r="K140" s="45"/>
      <c r="L140" s="47"/>
      <c r="M140" s="47"/>
      <c r="N140" s="45"/>
      <c r="O140" s="45"/>
      <c r="P140" s="45"/>
      <c r="Q140" s="45"/>
      <c r="R140" s="47"/>
      <c r="S140" s="45"/>
      <c r="T140" s="45"/>
      <c r="U140" s="590"/>
      <c r="V140" s="45"/>
      <c r="W140" s="45"/>
      <c r="X140" s="45"/>
      <c r="Y140" s="45"/>
      <c r="Z140" s="45"/>
      <c r="AA140" s="45"/>
      <c r="AB140" s="47"/>
      <c r="AC140" s="47"/>
      <c r="AD140" s="47"/>
      <c r="AE140" s="47"/>
    </row>
    <row r="141" s="119" customFormat="true" ht="11.25" hidden="false" customHeight="true" outlineLevel="0" collapsed="false">
      <c r="A141" s="589"/>
      <c r="B141" s="47"/>
      <c r="C141" s="47"/>
      <c r="K141" s="45"/>
      <c r="L141" s="47"/>
      <c r="M141" s="47"/>
      <c r="N141" s="45"/>
      <c r="O141" s="45"/>
      <c r="P141" s="45"/>
      <c r="Q141" s="45"/>
      <c r="R141" s="47"/>
      <c r="S141" s="45"/>
      <c r="T141" s="45"/>
      <c r="U141" s="590"/>
      <c r="V141" s="45"/>
      <c r="W141" s="45"/>
      <c r="X141" s="45"/>
      <c r="Y141" s="45"/>
      <c r="Z141" s="45"/>
      <c r="AA141" s="45"/>
      <c r="AB141" s="47"/>
      <c r="AC141" s="47"/>
      <c r="AD141" s="47"/>
      <c r="AE141" s="47"/>
    </row>
    <row r="142" s="119" customFormat="true" ht="11.25" hidden="false" customHeight="true" outlineLevel="0" collapsed="false">
      <c r="A142" s="589"/>
      <c r="B142" s="47"/>
      <c r="C142" s="47"/>
      <c r="K142" s="45"/>
      <c r="L142" s="47"/>
      <c r="M142" s="47"/>
      <c r="N142" s="45"/>
      <c r="O142" s="45"/>
      <c r="P142" s="45"/>
      <c r="Q142" s="45"/>
      <c r="R142" s="47"/>
      <c r="S142" s="45"/>
      <c r="T142" s="45"/>
      <c r="U142" s="590"/>
      <c r="V142" s="45"/>
      <c r="W142" s="45"/>
      <c r="X142" s="45"/>
      <c r="Y142" s="45"/>
      <c r="Z142" s="45"/>
      <c r="AA142" s="45"/>
      <c r="AB142" s="47"/>
      <c r="AC142" s="47"/>
      <c r="AD142" s="47"/>
      <c r="AE142" s="47"/>
    </row>
    <row r="143" s="119" customFormat="true" ht="11.25" hidden="false" customHeight="true" outlineLevel="0" collapsed="false">
      <c r="A143" s="589"/>
      <c r="B143" s="47"/>
      <c r="C143" s="47"/>
      <c r="K143" s="45"/>
      <c r="L143" s="47"/>
      <c r="M143" s="47"/>
      <c r="N143" s="45"/>
      <c r="O143" s="45"/>
      <c r="P143" s="45"/>
      <c r="Q143" s="45"/>
      <c r="R143" s="47"/>
      <c r="S143" s="45"/>
      <c r="T143" s="45"/>
      <c r="U143" s="590"/>
      <c r="V143" s="45"/>
      <c r="W143" s="45"/>
      <c r="X143" s="45"/>
      <c r="Y143" s="45"/>
      <c r="Z143" s="45"/>
      <c r="AA143" s="45"/>
      <c r="AB143" s="47"/>
      <c r="AC143" s="47"/>
      <c r="AD143" s="47"/>
      <c r="AE143" s="47"/>
    </row>
    <row r="144" s="119" customFormat="true" ht="11.25" hidden="false" customHeight="true" outlineLevel="0" collapsed="false">
      <c r="A144" s="589"/>
      <c r="B144" s="47"/>
      <c r="C144" s="47"/>
      <c r="K144" s="45"/>
      <c r="L144" s="47"/>
      <c r="M144" s="47"/>
      <c r="N144" s="45"/>
      <c r="O144" s="45"/>
      <c r="P144" s="45"/>
      <c r="Q144" s="45"/>
      <c r="R144" s="47"/>
      <c r="S144" s="45"/>
      <c r="T144" s="45"/>
      <c r="U144" s="590"/>
      <c r="V144" s="45"/>
      <c r="W144" s="45"/>
      <c r="X144" s="45"/>
      <c r="Y144" s="45"/>
      <c r="Z144" s="45"/>
      <c r="AA144" s="45"/>
      <c r="AB144" s="47"/>
      <c r="AC144" s="47"/>
      <c r="AD144" s="47"/>
      <c r="AE144" s="47"/>
    </row>
    <row r="145" s="119" customFormat="true" ht="11.25" hidden="false" customHeight="true" outlineLevel="0" collapsed="false">
      <c r="A145" s="589"/>
      <c r="B145" s="47"/>
      <c r="C145" s="47"/>
      <c r="K145" s="45"/>
      <c r="L145" s="47"/>
      <c r="M145" s="47"/>
      <c r="N145" s="45"/>
      <c r="O145" s="45"/>
      <c r="P145" s="45"/>
      <c r="Q145" s="45"/>
      <c r="R145" s="47"/>
      <c r="S145" s="45"/>
      <c r="T145" s="45"/>
      <c r="U145" s="590"/>
      <c r="V145" s="45"/>
      <c r="W145" s="45"/>
      <c r="X145" s="45"/>
      <c r="Y145" s="45"/>
      <c r="Z145" s="45"/>
      <c r="AA145" s="45"/>
      <c r="AB145" s="47"/>
      <c r="AC145" s="47"/>
      <c r="AD145" s="47"/>
      <c r="AE145" s="47"/>
    </row>
    <row r="146" s="119" customFormat="true" ht="11.25" hidden="false" customHeight="true" outlineLevel="0" collapsed="false">
      <c r="A146" s="589"/>
      <c r="B146" s="47"/>
      <c r="C146" s="47"/>
      <c r="K146" s="45"/>
      <c r="L146" s="47"/>
      <c r="M146" s="47"/>
      <c r="N146" s="45"/>
      <c r="O146" s="45"/>
      <c r="P146" s="45"/>
      <c r="Q146" s="45"/>
      <c r="R146" s="47"/>
      <c r="S146" s="45"/>
      <c r="T146" s="45"/>
      <c r="U146" s="590"/>
      <c r="V146" s="45"/>
      <c r="W146" s="45"/>
      <c r="X146" s="45"/>
      <c r="Y146" s="45"/>
      <c r="Z146" s="45"/>
      <c r="AA146" s="45"/>
      <c r="AB146" s="47"/>
      <c r="AC146" s="47"/>
      <c r="AD146" s="47"/>
      <c r="AE146" s="47"/>
    </row>
    <row r="147" s="119" customFormat="true" ht="11.25" hidden="false" customHeight="true" outlineLevel="0" collapsed="false">
      <c r="A147" s="589"/>
      <c r="B147" s="47"/>
      <c r="C147" s="47"/>
      <c r="K147" s="45"/>
      <c r="L147" s="47"/>
      <c r="M147" s="47"/>
      <c r="N147" s="45"/>
      <c r="O147" s="45"/>
      <c r="P147" s="45"/>
      <c r="Q147" s="45"/>
      <c r="R147" s="47"/>
      <c r="S147" s="45"/>
      <c r="T147" s="45"/>
      <c r="U147" s="590"/>
      <c r="V147" s="45"/>
      <c r="W147" s="45"/>
      <c r="X147" s="45"/>
      <c r="Y147" s="45"/>
      <c r="Z147" s="45"/>
      <c r="AA147" s="45"/>
      <c r="AB147" s="47"/>
      <c r="AC147" s="47"/>
      <c r="AD147" s="47"/>
      <c r="AE147" s="47"/>
    </row>
    <row r="148" s="119" customFormat="true" ht="11.25" hidden="false" customHeight="true" outlineLevel="0" collapsed="false">
      <c r="A148" s="589"/>
      <c r="B148" s="47"/>
      <c r="C148" s="47"/>
      <c r="K148" s="45"/>
      <c r="L148" s="47"/>
      <c r="M148" s="47"/>
      <c r="N148" s="45"/>
      <c r="O148" s="45"/>
      <c r="P148" s="45"/>
      <c r="Q148" s="45"/>
      <c r="R148" s="47"/>
      <c r="S148" s="45"/>
      <c r="T148" s="45"/>
      <c r="U148" s="590"/>
      <c r="V148" s="45"/>
      <c r="W148" s="45"/>
      <c r="X148" s="45"/>
      <c r="Y148" s="45"/>
      <c r="Z148" s="45"/>
      <c r="AA148" s="45"/>
      <c r="AB148" s="47"/>
      <c r="AC148" s="47"/>
      <c r="AD148" s="47"/>
      <c r="AE148" s="47"/>
    </row>
    <row r="149" s="119" customFormat="true" ht="11.25" hidden="false" customHeight="true" outlineLevel="0" collapsed="false">
      <c r="A149" s="589"/>
      <c r="B149" s="47"/>
      <c r="C149" s="47"/>
      <c r="K149" s="45"/>
      <c r="L149" s="47"/>
      <c r="M149" s="47"/>
      <c r="N149" s="45"/>
      <c r="O149" s="45"/>
      <c r="P149" s="45"/>
      <c r="Q149" s="45"/>
      <c r="R149" s="47"/>
      <c r="S149" s="45"/>
      <c r="T149" s="45"/>
      <c r="U149" s="590"/>
      <c r="V149" s="45"/>
      <c r="W149" s="45"/>
      <c r="X149" s="45"/>
      <c r="Y149" s="45"/>
      <c r="Z149" s="45"/>
      <c r="AA149" s="45"/>
      <c r="AB149" s="47"/>
      <c r="AC149" s="47"/>
      <c r="AD149" s="47"/>
      <c r="AE149" s="47"/>
    </row>
    <row r="150" s="119" customFormat="true" ht="11.25" hidden="false" customHeight="true" outlineLevel="0" collapsed="false">
      <c r="A150" s="589"/>
      <c r="B150" s="47"/>
      <c r="C150" s="47"/>
      <c r="K150" s="45"/>
      <c r="L150" s="47"/>
      <c r="M150" s="47"/>
      <c r="N150" s="45"/>
      <c r="O150" s="45"/>
      <c r="P150" s="45"/>
      <c r="Q150" s="45"/>
      <c r="R150" s="47"/>
      <c r="S150" s="45"/>
      <c r="T150" s="45"/>
      <c r="U150" s="590"/>
      <c r="V150" s="45"/>
      <c r="W150" s="45"/>
      <c r="X150" s="45"/>
      <c r="Y150" s="45"/>
      <c r="Z150" s="45"/>
      <c r="AA150" s="45"/>
      <c r="AB150" s="47"/>
      <c r="AC150" s="47"/>
      <c r="AD150" s="47"/>
      <c r="AE150" s="47"/>
    </row>
    <row r="151" s="119" customFormat="true" ht="11.25" hidden="false" customHeight="true" outlineLevel="0" collapsed="false">
      <c r="A151" s="589"/>
      <c r="B151" s="47"/>
      <c r="C151" s="47"/>
      <c r="K151" s="45"/>
      <c r="L151" s="47"/>
      <c r="M151" s="47"/>
      <c r="N151" s="45"/>
      <c r="O151" s="45"/>
      <c r="P151" s="45"/>
      <c r="Q151" s="45"/>
      <c r="R151" s="47"/>
      <c r="S151" s="45"/>
      <c r="T151" s="45"/>
      <c r="U151" s="590"/>
      <c r="V151" s="45"/>
      <c r="W151" s="45"/>
      <c r="X151" s="45"/>
      <c r="Y151" s="45"/>
      <c r="Z151" s="45"/>
      <c r="AA151" s="45"/>
      <c r="AB151" s="47"/>
      <c r="AC151" s="47"/>
      <c r="AD151" s="47"/>
      <c r="AE151" s="47"/>
    </row>
    <row r="152" s="119" customFormat="true" ht="11.25" hidden="false" customHeight="true" outlineLevel="0" collapsed="false">
      <c r="A152" s="589"/>
      <c r="B152" s="47"/>
      <c r="C152" s="47"/>
      <c r="K152" s="45"/>
      <c r="L152" s="47"/>
      <c r="M152" s="47"/>
      <c r="N152" s="45"/>
      <c r="O152" s="45"/>
      <c r="P152" s="45"/>
      <c r="Q152" s="45"/>
      <c r="R152" s="47"/>
      <c r="S152" s="45"/>
      <c r="T152" s="45"/>
      <c r="U152" s="590"/>
      <c r="V152" s="45"/>
      <c r="W152" s="45"/>
      <c r="X152" s="45"/>
      <c r="Y152" s="45"/>
      <c r="Z152" s="45"/>
      <c r="AA152" s="45"/>
      <c r="AB152" s="47"/>
      <c r="AC152" s="47"/>
      <c r="AD152" s="47"/>
      <c r="AE152" s="47"/>
    </row>
    <row r="153" s="119" customFormat="true" ht="11.25" hidden="false" customHeight="true" outlineLevel="0" collapsed="false">
      <c r="A153" s="589"/>
      <c r="B153" s="47"/>
      <c r="C153" s="47"/>
      <c r="K153" s="45"/>
      <c r="L153" s="47"/>
      <c r="M153" s="47"/>
      <c r="N153" s="45"/>
      <c r="O153" s="45"/>
      <c r="P153" s="45"/>
      <c r="Q153" s="45"/>
      <c r="R153" s="47"/>
      <c r="S153" s="45"/>
      <c r="T153" s="45"/>
      <c r="U153" s="590"/>
      <c r="V153" s="45"/>
      <c r="W153" s="45"/>
      <c r="X153" s="45"/>
      <c r="Y153" s="45"/>
      <c r="Z153" s="45"/>
      <c r="AA153" s="45"/>
      <c r="AB153" s="47"/>
      <c r="AC153" s="47"/>
      <c r="AD153" s="47"/>
      <c r="AE153" s="47"/>
    </row>
    <row r="154" s="119" customFormat="true" ht="11.25" hidden="false" customHeight="true" outlineLevel="0" collapsed="false">
      <c r="A154" s="589"/>
      <c r="B154" s="47"/>
      <c r="C154" s="47"/>
      <c r="K154" s="45"/>
      <c r="L154" s="47"/>
      <c r="M154" s="47"/>
      <c r="N154" s="45"/>
      <c r="O154" s="45"/>
      <c r="P154" s="45"/>
      <c r="Q154" s="45"/>
      <c r="R154" s="47"/>
      <c r="S154" s="45"/>
      <c r="T154" s="45"/>
      <c r="U154" s="590"/>
      <c r="V154" s="45"/>
      <c r="W154" s="45"/>
      <c r="X154" s="45"/>
      <c r="Y154" s="45"/>
      <c r="Z154" s="45"/>
      <c r="AA154" s="45"/>
      <c r="AB154" s="47"/>
      <c r="AC154" s="47"/>
      <c r="AD154" s="47"/>
      <c r="AE154" s="47"/>
    </row>
    <row r="155" s="119" customFormat="true" ht="11.25" hidden="false" customHeight="true" outlineLevel="0" collapsed="false">
      <c r="A155" s="589"/>
      <c r="B155" s="47"/>
      <c r="C155" s="47"/>
      <c r="K155" s="45"/>
      <c r="L155" s="47"/>
      <c r="M155" s="47"/>
      <c r="N155" s="45"/>
      <c r="O155" s="45"/>
      <c r="P155" s="45"/>
      <c r="Q155" s="45"/>
      <c r="R155" s="47"/>
      <c r="S155" s="45"/>
      <c r="T155" s="45"/>
      <c r="U155" s="590"/>
      <c r="V155" s="45"/>
      <c r="W155" s="45"/>
      <c r="X155" s="45"/>
      <c r="Y155" s="45"/>
      <c r="Z155" s="45"/>
      <c r="AA155" s="45"/>
      <c r="AB155" s="47"/>
      <c r="AC155" s="47"/>
      <c r="AD155" s="47"/>
      <c r="AE155" s="47"/>
    </row>
    <row r="156" s="119" customFormat="true" ht="11.25" hidden="false" customHeight="true" outlineLevel="0" collapsed="false">
      <c r="A156" s="589"/>
      <c r="B156" s="47"/>
      <c r="C156" s="47"/>
      <c r="K156" s="45"/>
      <c r="L156" s="47"/>
      <c r="M156" s="47"/>
      <c r="N156" s="45"/>
      <c r="O156" s="45"/>
      <c r="P156" s="45"/>
      <c r="Q156" s="45"/>
      <c r="R156" s="47"/>
      <c r="S156" s="45"/>
      <c r="T156" s="45"/>
      <c r="U156" s="590"/>
      <c r="V156" s="45"/>
      <c r="W156" s="45"/>
      <c r="X156" s="45"/>
      <c r="Y156" s="45"/>
      <c r="Z156" s="45"/>
      <c r="AA156" s="45"/>
      <c r="AB156" s="47"/>
      <c r="AC156" s="47"/>
      <c r="AD156" s="47"/>
      <c r="AE156" s="47"/>
    </row>
    <row r="157" s="119" customFormat="true" ht="11.25" hidden="false" customHeight="true" outlineLevel="0" collapsed="false">
      <c r="A157" s="589"/>
      <c r="B157" s="47"/>
      <c r="C157" s="47"/>
      <c r="K157" s="45"/>
      <c r="L157" s="47"/>
      <c r="M157" s="47"/>
      <c r="N157" s="45"/>
      <c r="O157" s="45"/>
      <c r="P157" s="45"/>
      <c r="Q157" s="45"/>
      <c r="R157" s="47"/>
      <c r="S157" s="45"/>
      <c r="T157" s="45"/>
      <c r="U157" s="590"/>
      <c r="V157" s="45"/>
      <c r="W157" s="45"/>
      <c r="X157" s="45"/>
      <c r="Y157" s="45"/>
      <c r="Z157" s="45"/>
      <c r="AA157" s="45"/>
      <c r="AB157" s="47"/>
      <c r="AC157" s="47"/>
      <c r="AD157" s="47"/>
      <c r="AE157" s="47"/>
    </row>
    <row r="158" s="119" customFormat="true" ht="11.25" hidden="false" customHeight="true" outlineLevel="0" collapsed="false">
      <c r="A158" s="589"/>
      <c r="B158" s="47"/>
      <c r="C158" s="47"/>
      <c r="K158" s="45"/>
      <c r="L158" s="47"/>
      <c r="M158" s="47"/>
      <c r="N158" s="45"/>
      <c r="O158" s="45"/>
      <c r="P158" s="45"/>
      <c r="Q158" s="45"/>
      <c r="R158" s="47"/>
      <c r="S158" s="45"/>
      <c r="T158" s="45"/>
      <c r="U158" s="590"/>
      <c r="V158" s="45"/>
      <c r="W158" s="45"/>
      <c r="X158" s="45"/>
      <c r="Y158" s="45"/>
      <c r="Z158" s="45"/>
      <c r="AA158" s="45"/>
      <c r="AB158" s="47"/>
      <c r="AC158" s="47"/>
      <c r="AD158" s="47"/>
      <c r="AE158" s="47"/>
    </row>
    <row r="159" s="119" customFormat="true" ht="11.25" hidden="false" customHeight="true" outlineLevel="0" collapsed="false">
      <c r="A159" s="589"/>
      <c r="B159" s="47"/>
      <c r="C159" s="47"/>
      <c r="K159" s="45"/>
      <c r="L159" s="47"/>
      <c r="M159" s="47"/>
      <c r="N159" s="45"/>
      <c r="O159" s="45"/>
      <c r="P159" s="45"/>
      <c r="Q159" s="45"/>
      <c r="R159" s="47"/>
      <c r="S159" s="45"/>
      <c r="T159" s="45"/>
      <c r="U159" s="590"/>
      <c r="V159" s="45"/>
      <c r="W159" s="45"/>
      <c r="X159" s="45"/>
      <c r="Y159" s="45"/>
      <c r="Z159" s="45"/>
      <c r="AA159" s="45"/>
      <c r="AB159" s="47"/>
      <c r="AC159" s="47"/>
      <c r="AD159" s="47"/>
      <c r="AE159" s="47"/>
    </row>
    <row r="160" s="119" customFormat="true" ht="11.25" hidden="false" customHeight="true" outlineLevel="0" collapsed="false">
      <c r="A160" s="589"/>
      <c r="B160" s="47"/>
      <c r="C160" s="47"/>
      <c r="K160" s="45"/>
      <c r="L160" s="47"/>
      <c r="M160" s="47"/>
      <c r="N160" s="45"/>
      <c r="O160" s="45"/>
      <c r="P160" s="45"/>
      <c r="Q160" s="45"/>
      <c r="R160" s="47"/>
      <c r="S160" s="45"/>
      <c r="T160" s="45"/>
      <c r="U160" s="590"/>
      <c r="V160" s="45"/>
      <c r="W160" s="45"/>
      <c r="X160" s="45"/>
      <c r="Y160" s="45"/>
      <c r="Z160" s="45"/>
      <c r="AA160" s="45"/>
      <c r="AB160" s="47"/>
      <c r="AC160" s="47"/>
      <c r="AD160" s="47"/>
      <c r="AE160" s="47"/>
    </row>
    <row r="161" s="119" customFormat="true" ht="11.25" hidden="false" customHeight="true" outlineLevel="0" collapsed="false">
      <c r="A161" s="589"/>
      <c r="B161" s="47"/>
      <c r="C161" s="47"/>
      <c r="K161" s="45"/>
      <c r="L161" s="47"/>
      <c r="M161" s="47"/>
      <c r="N161" s="45"/>
      <c r="O161" s="45"/>
      <c r="P161" s="45"/>
      <c r="Q161" s="45"/>
      <c r="R161" s="47"/>
      <c r="S161" s="45"/>
      <c r="T161" s="45"/>
      <c r="U161" s="590"/>
      <c r="V161" s="45"/>
      <c r="W161" s="45"/>
      <c r="X161" s="45"/>
      <c r="Y161" s="45"/>
      <c r="Z161" s="45"/>
      <c r="AA161" s="45"/>
      <c r="AB161" s="47"/>
      <c r="AC161" s="47"/>
      <c r="AD161" s="47"/>
      <c r="AE161" s="47"/>
    </row>
    <row r="162" s="119" customFormat="true" ht="11.25" hidden="false" customHeight="true" outlineLevel="0" collapsed="false">
      <c r="A162" s="589"/>
      <c r="B162" s="47"/>
      <c r="C162" s="47"/>
      <c r="K162" s="45"/>
      <c r="L162" s="47"/>
      <c r="M162" s="47"/>
      <c r="N162" s="45"/>
      <c r="O162" s="45"/>
      <c r="P162" s="45"/>
      <c r="Q162" s="45"/>
      <c r="R162" s="47"/>
      <c r="S162" s="45"/>
      <c r="T162" s="45"/>
      <c r="U162" s="590"/>
      <c r="V162" s="45"/>
      <c r="W162" s="45"/>
      <c r="X162" s="45"/>
      <c r="Y162" s="45"/>
      <c r="Z162" s="45"/>
      <c r="AA162" s="45"/>
      <c r="AB162" s="47"/>
      <c r="AC162" s="47"/>
      <c r="AD162" s="47"/>
      <c r="AE162" s="47"/>
    </row>
    <row r="163" s="119" customFormat="true" ht="11.25" hidden="false" customHeight="true" outlineLevel="0" collapsed="false">
      <c r="A163" s="589"/>
      <c r="B163" s="47"/>
      <c r="C163" s="47"/>
      <c r="K163" s="45"/>
      <c r="L163" s="47"/>
      <c r="M163" s="47"/>
      <c r="N163" s="45"/>
      <c r="O163" s="45"/>
      <c r="P163" s="45"/>
      <c r="Q163" s="45"/>
      <c r="R163" s="47"/>
      <c r="S163" s="45"/>
      <c r="T163" s="45"/>
      <c r="U163" s="590"/>
      <c r="V163" s="45"/>
      <c r="W163" s="45"/>
      <c r="X163" s="45"/>
      <c r="Y163" s="45"/>
      <c r="Z163" s="45"/>
      <c r="AA163" s="45"/>
      <c r="AB163" s="47"/>
      <c r="AC163" s="47"/>
      <c r="AD163" s="47"/>
      <c r="AE163" s="47"/>
    </row>
    <row r="164" s="119" customFormat="true" ht="11.25" hidden="false" customHeight="true" outlineLevel="0" collapsed="false">
      <c r="A164" s="589"/>
      <c r="B164" s="47"/>
      <c r="C164" s="47"/>
      <c r="K164" s="45"/>
      <c r="L164" s="47"/>
      <c r="M164" s="47"/>
      <c r="N164" s="45"/>
      <c r="O164" s="45"/>
      <c r="P164" s="45"/>
      <c r="Q164" s="45"/>
      <c r="R164" s="47"/>
      <c r="S164" s="45"/>
      <c r="T164" s="45"/>
      <c r="U164" s="590"/>
      <c r="V164" s="45"/>
      <c r="W164" s="45"/>
      <c r="X164" s="45"/>
      <c r="Y164" s="45"/>
      <c r="Z164" s="45"/>
      <c r="AA164" s="45"/>
      <c r="AB164" s="47"/>
      <c r="AC164" s="47"/>
      <c r="AD164" s="47"/>
      <c r="AE164" s="47"/>
    </row>
    <row r="165" s="119" customFormat="true" ht="11.25" hidden="false" customHeight="true" outlineLevel="0" collapsed="false">
      <c r="A165" s="589"/>
      <c r="B165" s="47"/>
      <c r="C165" s="47"/>
      <c r="K165" s="45"/>
      <c r="L165" s="47"/>
      <c r="M165" s="47"/>
      <c r="N165" s="45"/>
      <c r="O165" s="45"/>
      <c r="P165" s="45"/>
      <c r="Q165" s="45"/>
      <c r="R165" s="47"/>
      <c r="S165" s="45"/>
      <c r="T165" s="45"/>
      <c r="U165" s="590"/>
      <c r="V165" s="45"/>
      <c r="W165" s="45"/>
      <c r="X165" s="45"/>
      <c r="Y165" s="45"/>
      <c r="Z165" s="45"/>
      <c r="AA165" s="45"/>
      <c r="AB165" s="47"/>
      <c r="AC165" s="47"/>
      <c r="AD165" s="47"/>
      <c r="AE165" s="47"/>
    </row>
    <row r="166" s="119" customFormat="true" ht="11.25" hidden="false" customHeight="true" outlineLevel="0" collapsed="false">
      <c r="A166" s="589"/>
      <c r="B166" s="47"/>
      <c r="C166" s="47"/>
      <c r="K166" s="45"/>
      <c r="L166" s="47"/>
      <c r="M166" s="47"/>
      <c r="N166" s="45"/>
      <c r="O166" s="45"/>
      <c r="P166" s="45"/>
      <c r="Q166" s="45"/>
      <c r="R166" s="47"/>
      <c r="S166" s="45"/>
      <c r="T166" s="45"/>
      <c r="U166" s="590"/>
      <c r="V166" s="45"/>
      <c r="W166" s="45"/>
      <c r="X166" s="45"/>
      <c r="Y166" s="45"/>
      <c r="Z166" s="45"/>
      <c r="AA166" s="45"/>
      <c r="AB166" s="47"/>
      <c r="AC166" s="47"/>
      <c r="AD166" s="47"/>
      <c r="AE166" s="47"/>
    </row>
    <row r="167" s="119" customFormat="true" ht="11.25" hidden="false" customHeight="true" outlineLevel="0" collapsed="false">
      <c r="A167" s="589"/>
      <c r="B167" s="47"/>
      <c r="C167" s="47"/>
      <c r="K167" s="45"/>
      <c r="L167" s="47"/>
      <c r="M167" s="47"/>
      <c r="N167" s="45"/>
      <c r="O167" s="45"/>
      <c r="P167" s="45"/>
      <c r="Q167" s="45"/>
      <c r="R167" s="47"/>
      <c r="S167" s="45"/>
      <c r="T167" s="45"/>
      <c r="U167" s="590"/>
      <c r="V167" s="45"/>
      <c r="W167" s="45"/>
      <c r="X167" s="45"/>
      <c r="Y167" s="45"/>
      <c r="Z167" s="45"/>
      <c r="AA167" s="45"/>
      <c r="AB167" s="47"/>
      <c r="AC167" s="47"/>
      <c r="AD167" s="47"/>
      <c r="AE167" s="47"/>
    </row>
    <row r="168" s="119" customFormat="true" ht="11.25" hidden="false" customHeight="true" outlineLevel="0" collapsed="false">
      <c r="A168" s="589"/>
      <c r="B168" s="47"/>
      <c r="C168" s="47"/>
      <c r="K168" s="45"/>
      <c r="L168" s="47"/>
      <c r="M168" s="47"/>
      <c r="N168" s="45"/>
      <c r="O168" s="45"/>
      <c r="P168" s="45"/>
      <c r="Q168" s="45"/>
      <c r="R168" s="47"/>
      <c r="S168" s="45"/>
      <c r="T168" s="45"/>
      <c r="U168" s="590"/>
      <c r="V168" s="45"/>
      <c r="W168" s="45"/>
      <c r="X168" s="45"/>
      <c r="Y168" s="45"/>
      <c r="Z168" s="45"/>
      <c r="AA168" s="45"/>
      <c r="AB168" s="47"/>
      <c r="AC168" s="47"/>
      <c r="AD168" s="47"/>
      <c r="AE168" s="47"/>
    </row>
    <row r="169" s="119" customFormat="true" ht="11.25" hidden="false" customHeight="true" outlineLevel="0" collapsed="false">
      <c r="A169" s="589"/>
      <c r="B169" s="47"/>
      <c r="C169" s="47"/>
      <c r="K169" s="45"/>
      <c r="L169" s="47"/>
      <c r="M169" s="47"/>
      <c r="N169" s="45"/>
      <c r="O169" s="45"/>
      <c r="P169" s="45"/>
      <c r="Q169" s="45"/>
      <c r="R169" s="47"/>
      <c r="S169" s="45"/>
      <c r="T169" s="45"/>
      <c r="U169" s="590"/>
      <c r="V169" s="45"/>
      <c r="W169" s="45"/>
      <c r="X169" s="45"/>
      <c r="Y169" s="45"/>
      <c r="Z169" s="45"/>
      <c r="AA169" s="45"/>
      <c r="AB169" s="47"/>
      <c r="AC169" s="47"/>
      <c r="AD169" s="47"/>
      <c r="AE169" s="47"/>
    </row>
    <row r="170" s="119" customFormat="true" ht="11.25" hidden="false" customHeight="true" outlineLevel="0" collapsed="false">
      <c r="A170" s="589"/>
      <c r="B170" s="47"/>
      <c r="C170" s="47"/>
      <c r="K170" s="45"/>
      <c r="L170" s="47"/>
      <c r="M170" s="47"/>
      <c r="N170" s="45"/>
      <c r="O170" s="45"/>
      <c r="P170" s="45"/>
      <c r="Q170" s="45"/>
      <c r="R170" s="47"/>
      <c r="S170" s="45"/>
      <c r="T170" s="45"/>
      <c r="U170" s="590"/>
      <c r="V170" s="45"/>
      <c r="W170" s="45"/>
      <c r="X170" s="45"/>
      <c r="Y170" s="45"/>
      <c r="Z170" s="45"/>
      <c r="AA170" s="45"/>
      <c r="AB170" s="47"/>
      <c r="AC170" s="47"/>
      <c r="AD170" s="47"/>
      <c r="AE170" s="47"/>
    </row>
    <row r="171" s="119" customFormat="true" ht="11.25" hidden="false" customHeight="true" outlineLevel="0" collapsed="false">
      <c r="A171" s="589"/>
      <c r="B171" s="47"/>
      <c r="C171" s="47"/>
      <c r="K171" s="45"/>
      <c r="L171" s="47"/>
      <c r="M171" s="47"/>
      <c r="N171" s="45"/>
      <c r="O171" s="45"/>
      <c r="P171" s="45"/>
      <c r="Q171" s="45"/>
      <c r="R171" s="47"/>
      <c r="S171" s="45"/>
      <c r="T171" s="45"/>
      <c r="U171" s="590"/>
      <c r="V171" s="45"/>
      <c r="W171" s="45"/>
      <c r="X171" s="45"/>
      <c r="Y171" s="45"/>
      <c r="Z171" s="45"/>
      <c r="AA171" s="45"/>
      <c r="AB171" s="47"/>
      <c r="AC171" s="47"/>
      <c r="AD171" s="47"/>
      <c r="AE171" s="47"/>
    </row>
    <row r="172" s="119" customFormat="true" ht="11.25" hidden="false" customHeight="true" outlineLevel="0" collapsed="false">
      <c r="A172" s="589"/>
      <c r="B172" s="47"/>
      <c r="C172" s="47"/>
      <c r="K172" s="45"/>
      <c r="L172" s="47"/>
      <c r="M172" s="47"/>
      <c r="N172" s="45"/>
      <c r="O172" s="45"/>
      <c r="P172" s="45"/>
      <c r="Q172" s="45"/>
      <c r="R172" s="47"/>
      <c r="S172" s="45"/>
      <c r="T172" s="45"/>
      <c r="U172" s="590"/>
      <c r="V172" s="45"/>
      <c r="W172" s="45"/>
      <c r="X172" s="45"/>
      <c r="Y172" s="45"/>
      <c r="Z172" s="45"/>
      <c r="AA172" s="45"/>
      <c r="AB172" s="47"/>
      <c r="AC172" s="47"/>
      <c r="AD172" s="47"/>
      <c r="AE172" s="47"/>
    </row>
    <row r="173" s="119" customFormat="true" ht="11.25" hidden="false" customHeight="true" outlineLevel="0" collapsed="false">
      <c r="A173" s="589"/>
      <c r="B173" s="47"/>
      <c r="C173" s="47"/>
      <c r="K173" s="45"/>
      <c r="L173" s="47"/>
      <c r="M173" s="47"/>
      <c r="N173" s="45"/>
      <c r="O173" s="45"/>
      <c r="P173" s="45"/>
      <c r="Q173" s="45"/>
      <c r="R173" s="47"/>
      <c r="S173" s="45"/>
      <c r="T173" s="45"/>
      <c r="U173" s="590"/>
      <c r="V173" s="45"/>
      <c r="W173" s="45"/>
      <c r="X173" s="45"/>
      <c r="Y173" s="45"/>
      <c r="Z173" s="45"/>
      <c r="AA173" s="45"/>
      <c r="AB173" s="47"/>
      <c r="AC173" s="47"/>
      <c r="AD173" s="47"/>
      <c r="AE173" s="47"/>
    </row>
    <row r="174" s="119" customFormat="true" ht="11.25" hidden="false" customHeight="true" outlineLevel="0" collapsed="false">
      <c r="A174" s="589"/>
      <c r="B174" s="47"/>
      <c r="C174" s="47"/>
      <c r="K174" s="45"/>
      <c r="L174" s="47"/>
      <c r="M174" s="47"/>
      <c r="N174" s="45"/>
      <c r="O174" s="45"/>
      <c r="P174" s="45"/>
      <c r="Q174" s="45"/>
      <c r="R174" s="47"/>
      <c r="S174" s="45"/>
      <c r="T174" s="45"/>
      <c r="U174" s="590"/>
      <c r="V174" s="45"/>
      <c r="W174" s="45"/>
      <c r="X174" s="45"/>
      <c r="Y174" s="45"/>
      <c r="Z174" s="45"/>
      <c r="AA174" s="45"/>
      <c r="AB174" s="47"/>
      <c r="AC174" s="47"/>
      <c r="AD174" s="47"/>
      <c r="AE174" s="47"/>
    </row>
    <row r="175" s="119" customFormat="true" ht="11.25" hidden="false" customHeight="true" outlineLevel="0" collapsed="false">
      <c r="A175" s="589"/>
      <c r="B175" s="47"/>
      <c r="C175" s="47"/>
      <c r="K175" s="45"/>
      <c r="L175" s="47"/>
      <c r="M175" s="47"/>
      <c r="N175" s="45"/>
      <c r="O175" s="45"/>
      <c r="P175" s="45"/>
      <c r="Q175" s="45"/>
      <c r="R175" s="47"/>
      <c r="S175" s="45"/>
      <c r="T175" s="45"/>
      <c r="U175" s="590"/>
      <c r="V175" s="45"/>
      <c r="W175" s="45"/>
      <c r="X175" s="45"/>
      <c r="Y175" s="45"/>
      <c r="Z175" s="45"/>
      <c r="AA175" s="45"/>
      <c r="AB175" s="47"/>
      <c r="AC175" s="47"/>
      <c r="AD175" s="47"/>
      <c r="AE175" s="47"/>
    </row>
    <row r="176" s="119" customFormat="true" ht="11.25" hidden="false" customHeight="true" outlineLevel="0" collapsed="false">
      <c r="A176" s="589"/>
      <c r="B176" s="47"/>
      <c r="C176" s="47"/>
      <c r="K176" s="45"/>
      <c r="L176" s="47"/>
      <c r="M176" s="47"/>
      <c r="N176" s="45"/>
      <c r="O176" s="45"/>
      <c r="P176" s="45"/>
      <c r="Q176" s="45"/>
      <c r="R176" s="47"/>
      <c r="S176" s="45"/>
      <c r="T176" s="45"/>
      <c r="U176" s="590"/>
      <c r="V176" s="45"/>
      <c r="W176" s="45"/>
      <c r="X176" s="45"/>
      <c r="Y176" s="45"/>
      <c r="Z176" s="45"/>
      <c r="AA176" s="45"/>
      <c r="AB176" s="47"/>
      <c r="AC176" s="47"/>
      <c r="AD176" s="47"/>
      <c r="AE176" s="47"/>
    </row>
    <row r="177" s="119" customFormat="true" ht="11.25" hidden="false" customHeight="true" outlineLevel="0" collapsed="false">
      <c r="A177" s="589"/>
      <c r="B177" s="47"/>
      <c r="C177" s="47"/>
      <c r="K177" s="45"/>
      <c r="L177" s="47"/>
      <c r="M177" s="47"/>
      <c r="N177" s="45"/>
      <c r="O177" s="45"/>
      <c r="P177" s="45"/>
      <c r="Q177" s="45"/>
      <c r="R177" s="47"/>
      <c r="S177" s="45"/>
      <c r="T177" s="45"/>
      <c r="U177" s="590"/>
      <c r="V177" s="45"/>
      <c r="W177" s="45"/>
      <c r="X177" s="45"/>
      <c r="Y177" s="45"/>
      <c r="Z177" s="45"/>
      <c r="AA177" s="45"/>
      <c r="AB177" s="47"/>
      <c r="AC177" s="47"/>
      <c r="AD177" s="47"/>
      <c r="AE177" s="47"/>
    </row>
    <row r="178" s="119" customFormat="true" ht="11.25" hidden="false" customHeight="true" outlineLevel="0" collapsed="false">
      <c r="A178" s="589"/>
      <c r="B178" s="47"/>
      <c r="C178" s="47"/>
      <c r="K178" s="45"/>
      <c r="L178" s="47"/>
      <c r="M178" s="47"/>
      <c r="N178" s="45"/>
      <c r="O178" s="45"/>
      <c r="P178" s="45"/>
      <c r="Q178" s="45"/>
      <c r="R178" s="47"/>
      <c r="S178" s="45"/>
      <c r="T178" s="45"/>
      <c r="U178" s="590"/>
      <c r="V178" s="45"/>
      <c r="W178" s="45"/>
      <c r="X178" s="45"/>
      <c r="Y178" s="45"/>
      <c r="Z178" s="45"/>
      <c r="AA178" s="45"/>
      <c r="AB178" s="47"/>
      <c r="AC178" s="47"/>
      <c r="AD178" s="47"/>
      <c r="AE178" s="47"/>
    </row>
    <row r="179" s="119" customFormat="true" ht="11.25" hidden="false" customHeight="true" outlineLevel="0" collapsed="false">
      <c r="A179" s="589"/>
      <c r="B179" s="47"/>
      <c r="C179" s="47"/>
      <c r="K179" s="45"/>
      <c r="L179" s="47"/>
      <c r="M179" s="47"/>
      <c r="N179" s="45"/>
      <c r="O179" s="45"/>
      <c r="P179" s="45"/>
      <c r="Q179" s="45"/>
      <c r="R179" s="47"/>
      <c r="S179" s="45"/>
      <c r="T179" s="45"/>
      <c r="U179" s="590"/>
      <c r="V179" s="45"/>
      <c r="W179" s="45"/>
      <c r="X179" s="45"/>
      <c r="Y179" s="45"/>
      <c r="Z179" s="45"/>
      <c r="AA179" s="45"/>
      <c r="AB179" s="47"/>
      <c r="AC179" s="47"/>
      <c r="AD179" s="47"/>
      <c r="AE179" s="47"/>
    </row>
    <row r="180" s="119" customFormat="true" ht="11.25" hidden="false" customHeight="true" outlineLevel="0" collapsed="false">
      <c r="A180" s="589"/>
      <c r="B180" s="47"/>
      <c r="C180" s="47"/>
      <c r="K180" s="45"/>
      <c r="L180" s="47"/>
      <c r="M180" s="47"/>
      <c r="N180" s="45"/>
      <c r="O180" s="45"/>
      <c r="P180" s="45"/>
      <c r="Q180" s="45"/>
      <c r="R180" s="47"/>
      <c r="S180" s="45"/>
      <c r="T180" s="45"/>
      <c r="U180" s="590"/>
      <c r="V180" s="45"/>
      <c r="W180" s="45"/>
      <c r="X180" s="45"/>
      <c r="Y180" s="45"/>
      <c r="Z180" s="45"/>
      <c r="AA180" s="45"/>
      <c r="AB180" s="47"/>
      <c r="AC180" s="47"/>
      <c r="AD180" s="47"/>
      <c r="AE180" s="47"/>
    </row>
    <row r="181" s="119" customFormat="true" ht="11.25" hidden="false" customHeight="true" outlineLevel="0" collapsed="false">
      <c r="A181" s="589"/>
      <c r="B181" s="47"/>
      <c r="C181" s="47"/>
      <c r="K181" s="45"/>
      <c r="L181" s="47"/>
      <c r="M181" s="47"/>
      <c r="N181" s="45"/>
      <c r="O181" s="45"/>
      <c r="P181" s="45"/>
      <c r="Q181" s="45"/>
      <c r="R181" s="47"/>
      <c r="S181" s="45"/>
      <c r="T181" s="45"/>
      <c r="U181" s="590"/>
      <c r="V181" s="45"/>
      <c r="W181" s="45"/>
      <c r="X181" s="45"/>
      <c r="Y181" s="45"/>
      <c r="Z181" s="45"/>
      <c r="AA181" s="45"/>
      <c r="AB181" s="47"/>
      <c r="AC181" s="47"/>
      <c r="AD181" s="47"/>
      <c r="AE181" s="47"/>
    </row>
    <row r="182" s="119" customFormat="true" ht="11.25" hidden="false" customHeight="true" outlineLevel="0" collapsed="false">
      <c r="A182" s="589"/>
      <c r="B182" s="47"/>
      <c r="C182" s="47"/>
      <c r="K182" s="45"/>
      <c r="L182" s="47"/>
      <c r="M182" s="47"/>
      <c r="N182" s="45"/>
      <c r="O182" s="45"/>
      <c r="P182" s="45"/>
      <c r="Q182" s="45"/>
      <c r="R182" s="47"/>
      <c r="S182" s="45"/>
      <c r="T182" s="45"/>
      <c r="U182" s="590"/>
      <c r="V182" s="45"/>
      <c r="W182" s="45"/>
      <c r="X182" s="45"/>
      <c r="Y182" s="45"/>
      <c r="Z182" s="45"/>
      <c r="AA182" s="45"/>
      <c r="AB182" s="47"/>
      <c r="AC182" s="47"/>
      <c r="AD182" s="47"/>
      <c r="AE182" s="47"/>
    </row>
    <row r="183" s="119" customFormat="true" ht="11.25" hidden="false" customHeight="true" outlineLevel="0" collapsed="false">
      <c r="A183" s="589"/>
      <c r="B183" s="47"/>
      <c r="C183" s="47"/>
      <c r="K183" s="45"/>
      <c r="L183" s="47"/>
      <c r="M183" s="47"/>
      <c r="N183" s="45"/>
      <c r="O183" s="45"/>
      <c r="P183" s="45"/>
      <c r="Q183" s="45"/>
      <c r="R183" s="47"/>
      <c r="S183" s="45"/>
      <c r="T183" s="45"/>
      <c r="U183" s="590"/>
      <c r="V183" s="45"/>
      <c r="W183" s="45"/>
      <c r="X183" s="45"/>
      <c r="Y183" s="45"/>
      <c r="Z183" s="45"/>
      <c r="AA183" s="45"/>
      <c r="AB183" s="47"/>
      <c r="AC183" s="47"/>
      <c r="AD183" s="47"/>
      <c r="AE183" s="47"/>
    </row>
    <row r="184" s="119" customFormat="true" ht="11.25" hidden="false" customHeight="true" outlineLevel="0" collapsed="false">
      <c r="A184" s="589"/>
      <c r="B184" s="47"/>
      <c r="C184" s="47"/>
      <c r="K184" s="45"/>
      <c r="L184" s="47"/>
      <c r="M184" s="47"/>
      <c r="N184" s="45"/>
      <c r="O184" s="45"/>
      <c r="P184" s="45"/>
      <c r="Q184" s="45"/>
      <c r="R184" s="47"/>
      <c r="S184" s="45"/>
      <c r="T184" s="45"/>
      <c r="U184" s="590"/>
      <c r="V184" s="45"/>
      <c r="W184" s="45"/>
      <c r="X184" s="45"/>
      <c r="Y184" s="45"/>
      <c r="Z184" s="45"/>
      <c r="AA184" s="45"/>
      <c r="AB184" s="47"/>
      <c r="AC184" s="47"/>
      <c r="AD184" s="47"/>
      <c r="AE184" s="47"/>
    </row>
    <row r="185" s="119" customFormat="true" ht="11.25" hidden="false" customHeight="true" outlineLevel="0" collapsed="false">
      <c r="A185" s="589"/>
      <c r="B185" s="47"/>
      <c r="C185" s="47"/>
      <c r="K185" s="45"/>
      <c r="L185" s="47"/>
      <c r="M185" s="47"/>
      <c r="N185" s="45"/>
      <c r="O185" s="45"/>
      <c r="P185" s="45"/>
      <c r="Q185" s="45"/>
      <c r="R185" s="47"/>
      <c r="S185" s="45"/>
      <c r="T185" s="45"/>
      <c r="U185" s="590"/>
      <c r="V185" s="45"/>
      <c r="W185" s="45"/>
      <c r="X185" s="45"/>
      <c r="Y185" s="45"/>
      <c r="Z185" s="45"/>
      <c r="AA185" s="45"/>
      <c r="AB185" s="47"/>
      <c r="AC185" s="47"/>
      <c r="AD185" s="47"/>
      <c r="AE185" s="47"/>
    </row>
    <row r="186" s="119" customFormat="true" ht="11.25" hidden="false" customHeight="true" outlineLevel="0" collapsed="false">
      <c r="A186" s="589"/>
      <c r="B186" s="47"/>
      <c r="C186" s="47"/>
      <c r="K186" s="45"/>
      <c r="L186" s="47"/>
      <c r="M186" s="47"/>
      <c r="N186" s="45"/>
      <c r="O186" s="45"/>
      <c r="P186" s="45"/>
      <c r="Q186" s="45"/>
      <c r="R186" s="47"/>
      <c r="S186" s="45"/>
      <c r="T186" s="45"/>
      <c r="U186" s="590"/>
      <c r="V186" s="45"/>
      <c r="W186" s="45"/>
      <c r="X186" s="45"/>
      <c r="Y186" s="45"/>
      <c r="Z186" s="45"/>
      <c r="AA186" s="45"/>
      <c r="AB186" s="47"/>
      <c r="AC186" s="47"/>
      <c r="AD186" s="47"/>
      <c r="AE186" s="47"/>
    </row>
    <row r="187" s="119" customFormat="true" ht="11.25" hidden="false" customHeight="true" outlineLevel="0" collapsed="false">
      <c r="A187" s="589"/>
      <c r="B187" s="47"/>
      <c r="C187" s="47"/>
      <c r="K187" s="45"/>
      <c r="L187" s="47"/>
      <c r="M187" s="47"/>
      <c r="N187" s="45"/>
      <c r="O187" s="45"/>
      <c r="P187" s="45"/>
      <c r="Q187" s="45"/>
      <c r="R187" s="47"/>
      <c r="S187" s="45"/>
      <c r="T187" s="45"/>
      <c r="U187" s="590"/>
      <c r="V187" s="45"/>
      <c r="W187" s="45"/>
      <c r="X187" s="45"/>
      <c r="Y187" s="45"/>
      <c r="Z187" s="45"/>
      <c r="AA187" s="45"/>
      <c r="AB187" s="47"/>
      <c r="AC187" s="47"/>
      <c r="AD187" s="47"/>
      <c r="AE187" s="47"/>
    </row>
    <row r="188" s="119" customFormat="true" ht="11.25" hidden="false" customHeight="true" outlineLevel="0" collapsed="false">
      <c r="A188" s="589"/>
      <c r="B188" s="47"/>
      <c r="C188" s="47"/>
      <c r="K188" s="45"/>
      <c r="L188" s="47"/>
      <c r="M188" s="47"/>
      <c r="N188" s="45"/>
      <c r="O188" s="45"/>
      <c r="P188" s="45"/>
      <c r="Q188" s="45"/>
      <c r="R188" s="47"/>
      <c r="S188" s="45"/>
      <c r="T188" s="45"/>
      <c r="U188" s="590"/>
      <c r="V188" s="45"/>
      <c r="W188" s="45"/>
      <c r="X188" s="45"/>
      <c r="Y188" s="45"/>
      <c r="Z188" s="45"/>
      <c r="AA188" s="45"/>
      <c r="AB188" s="47"/>
      <c r="AC188" s="47"/>
      <c r="AD188" s="47"/>
      <c r="AE188" s="47"/>
    </row>
    <row r="189" s="119" customFormat="true" ht="11.25" hidden="false" customHeight="true" outlineLevel="0" collapsed="false">
      <c r="A189" s="589"/>
      <c r="B189" s="47"/>
      <c r="C189" s="47"/>
      <c r="K189" s="45"/>
      <c r="L189" s="47"/>
      <c r="M189" s="47"/>
      <c r="N189" s="45"/>
      <c r="O189" s="45"/>
      <c r="P189" s="45"/>
      <c r="Q189" s="45"/>
      <c r="R189" s="47"/>
      <c r="S189" s="45"/>
      <c r="T189" s="45"/>
      <c r="U189" s="590"/>
      <c r="V189" s="45"/>
      <c r="W189" s="45"/>
      <c r="X189" s="45"/>
      <c r="Y189" s="45"/>
      <c r="Z189" s="45"/>
      <c r="AA189" s="45"/>
      <c r="AB189" s="47"/>
      <c r="AC189" s="47"/>
      <c r="AD189" s="47"/>
      <c r="AE189" s="47"/>
    </row>
    <row r="190" s="119" customFormat="true" ht="11.25" hidden="false" customHeight="true" outlineLevel="0" collapsed="false">
      <c r="A190" s="589"/>
      <c r="B190" s="47"/>
      <c r="C190" s="47"/>
      <c r="K190" s="45"/>
      <c r="L190" s="47"/>
      <c r="M190" s="47"/>
      <c r="N190" s="45"/>
      <c r="O190" s="45"/>
      <c r="P190" s="45"/>
      <c r="Q190" s="45"/>
      <c r="R190" s="47"/>
      <c r="S190" s="45"/>
      <c r="T190" s="45"/>
      <c r="U190" s="590"/>
      <c r="V190" s="45"/>
      <c r="W190" s="45"/>
      <c r="X190" s="45"/>
      <c r="Y190" s="45"/>
      <c r="Z190" s="45"/>
      <c r="AA190" s="45"/>
      <c r="AB190" s="47"/>
      <c r="AC190" s="47"/>
      <c r="AD190" s="47"/>
      <c r="AE190" s="47"/>
    </row>
    <row r="191" s="119" customFormat="true" ht="11.25" hidden="false" customHeight="true" outlineLevel="0" collapsed="false">
      <c r="A191" s="589"/>
      <c r="B191" s="47"/>
      <c r="C191" s="47"/>
      <c r="K191" s="45"/>
      <c r="L191" s="47"/>
      <c r="M191" s="47"/>
      <c r="N191" s="45"/>
      <c r="O191" s="45"/>
      <c r="P191" s="45"/>
      <c r="Q191" s="45"/>
      <c r="R191" s="47"/>
      <c r="S191" s="45"/>
      <c r="T191" s="45"/>
      <c r="U191" s="590"/>
      <c r="V191" s="45"/>
      <c r="W191" s="45"/>
      <c r="X191" s="45"/>
      <c r="Y191" s="45"/>
      <c r="Z191" s="45"/>
      <c r="AA191" s="45"/>
      <c r="AB191" s="47"/>
      <c r="AC191" s="47"/>
      <c r="AD191" s="47"/>
      <c r="AE191" s="47"/>
    </row>
    <row r="192" s="119" customFormat="true" ht="11.25" hidden="false" customHeight="true" outlineLevel="0" collapsed="false">
      <c r="A192" s="589"/>
      <c r="B192" s="47"/>
      <c r="C192" s="47"/>
      <c r="K192" s="45"/>
      <c r="L192" s="47"/>
      <c r="M192" s="47"/>
      <c r="N192" s="45"/>
      <c r="O192" s="45"/>
      <c r="P192" s="45"/>
      <c r="Q192" s="45"/>
      <c r="R192" s="47"/>
      <c r="S192" s="45"/>
      <c r="T192" s="45"/>
      <c r="U192" s="590"/>
      <c r="V192" s="45"/>
      <c r="W192" s="45"/>
      <c r="X192" s="45"/>
      <c r="Y192" s="45"/>
      <c r="Z192" s="45"/>
      <c r="AA192" s="45"/>
      <c r="AB192" s="47"/>
      <c r="AC192" s="47"/>
      <c r="AD192" s="47"/>
      <c r="AE192" s="47"/>
    </row>
    <row r="193" s="119" customFormat="true" ht="11.25" hidden="false" customHeight="true" outlineLevel="0" collapsed="false">
      <c r="A193" s="589"/>
      <c r="B193" s="47"/>
      <c r="C193" s="47"/>
      <c r="K193" s="45"/>
      <c r="L193" s="47"/>
      <c r="M193" s="47"/>
      <c r="N193" s="45"/>
      <c r="O193" s="45"/>
      <c r="P193" s="45"/>
      <c r="Q193" s="45"/>
      <c r="R193" s="47"/>
      <c r="S193" s="45"/>
      <c r="T193" s="45"/>
      <c r="U193" s="590"/>
      <c r="V193" s="45"/>
      <c r="W193" s="45"/>
      <c r="X193" s="45"/>
      <c r="Y193" s="45"/>
      <c r="Z193" s="45"/>
      <c r="AA193" s="45"/>
      <c r="AB193" s="47"/>
      <c r="AC193" s="47"/>
      <c r="AD193" s="47"/>
      <c r="AE193" s="47"/>
    </row>
    <row r="194" s="119" customFormat="true" ht="11.25" hidden="false" customHeight="true" outlineLevel="0" collapsed="false">
      <c r="A194" s="589"/>
      <c r="B194" s="47"/>
      <c r="C194" s="47"/>
      <c r="K194" s="45"/>
      <c r="L194" s="47"/>
      <c r="M194" s="47"/>
      <c r="N194" s="45"/>
      <c r="O194" s="45"/>
      <c r="P194" s="45"/>
      <c r="Q194" s="45"/>
      <c r="R194" s="47"/>
      <c r="S194" s="45"/>
      <c r="T194" s="45"/>
      <c r="U194" s="590"/>
      <c r="V194" s="45"/>
      <c r="W194" s="45"/>
      <c r="X194" s="45"/>
      <c r="Y194" s="45"/>
      <c r="Z194" s="45"/>
      <c r="AA194" s="45"/>
      <c r="AB194" s="47"/>
      <c r="AC194" s="47"/>
      <c r="AD194" s="47"/>
      <c r="AE194" s="47"/>
    </row>
    <row r="195" s="119" customFormat="true" ht="11.25" hidden="false" customHeight="true" outlineLevel="0" collapsed="false">
      <c r="A195" s="589"/>
      <c r="B195" s="47"/>
      <c r="C195" s="47"/>
      <c r="K195" s="45"/>
      <c r="L195" s="47"/>
      <c r="M195" s="47"/>
      <c r="N195" s="45"/>
      <c r="O195" s="45"/>
      <c r="P195" s="45"/>
      <c r="Q195" s="45"/>
      <c r="R195" s="47"/>
      <c r="S195" s="45"/>
      <c r="T195" s="45"/>
      <c r="U195" s="590"/>
      <c r="V195" s="45"/>
      <c r="W195" s="45"/>
      <c r="X195" s="45"/>
      <c r="Y195" s="45"/>
      <c r="Z195" s="45"/>
      <c r="AA195" s="45"/>
      <c r="AB195" s="47"/>
      <c r="AC195" s="47"/>
      <c r="AD195" s="47"/>
      <c r="AE195" s="47"/>
    </row>
    <row r="196" s="119" customFormat="true" ht="11.25" hidden="false" customHeight="true" outlineLevel="0" collapsed="false">
      <c r="A196" s="589"/>
      <c r="B196" s="47"/>
      <c r="C196" s="47"/>
      <c r="K196" s="45"/>
      <c r="L196" s="47"/>
      <c r="M196" s="47"/>
      <c r="N196" s="45"/>
      <c r="O196" s="45"/>
      <c r="P196" s="45"/>
      <c r="Q196" s="45"/>
      <c r="R196" s="47"/>
      <c r="S196" s="45"/>
      <c r="T196" s="45"/>
      <c r="U196" s="590"/>
      <c r="V196" s="45"/>
      <c r="W196" s="45"/>
      <c r="X196" s="45"/>
      <c r="Y196" s="45"/>
      <c r="Z196" s="45"/>
      <c r="AA196" s="45"/>
      <c r="AB196" s="47"/>
      <c r="AC196" s="47"/>
      <c r="AD196" s="47"/>
      <c r="AE196" s="47"/>
    </row>
    <row r="197" s="119" customFormat="true" ht="11.25" hidden="false" customHeight="true" outlineLevel="0" collapsed="false">
      <c r="A197" s="589"/>
      <c r="B197" s="47"/>
      <c r="C197" s="47"/>
      <c r="K197" s="45"/>
      <c r="L197" s="47"/>
      <c r="M197" s="47"/>
      <c r="N197" s="45"/>
      <c r="O197" s="45"/>
      <c r="P197" s="45"/>
      <c r="Q197" s="45"/>
      <c r="R197" s="47"/>
      <c r="S197" s="45"/>
      <c r="T197" s="45"/>
      <c r="U197" s="590"/>
      <c r="V197" s="45"/>
      <c r="W197" s="45"/>
      <c r="X197" s="45"/>
      <c r="Y197" s="45"/>
      <c r="Z197" s="45"/>
      <c r="AA197" s="45"/>
      <c r="AB197" s="47"/>
      <c r="AC197" s="47"/>
      <c r="AD197" s="47"/>
      <c r="AE197" s="47"/>
    </row>
    <row r="198" s="119" customFormat="true" ht="11.25" hidden="false" customHeight="true" outlineLevel="0" collapsed="false">
      <c r="A198" s="589"/>
      <c r="B198" s="47"/>
      <c r="C198" s="47"/>
      <c r="K198" s="45"/>
      <c r="L198" s="47"/>
      <c r="M198" s="47"/>
      <c r="N198" s="45"/>
      <c r="O198" s="45"/>
      <c r="P198" s="45"/>
      <c r="Q198" s="45"/>
      <c r="R198" s="47"/>
      <c r="S198" s="45"/>
      <c r="T198" s="45"/>
      <c r="U198" s="590"/>
      <c r="V198" s="45"/>
      <c r="W198" s="45"/>
      <c r="X198" s="45"/>
      <c r="Y198" s="45"/>
      <c r="Z198" s="45"/>
      <c r="AA198" s="45"/>
      <c r="AB198" s="47"/>
      <c r="AC198" s="47"/>
      <c r="AD198" s="47"/>
      <c r="AE198" s="47"/>
    </row>
    <row r="199" s="119" customFormat="true" ht="11.25" hidden="false" customHeight="true" outlineLevel="0" collapsed="false">
      <c r="A199" s="589"/>
      <c r="B199" s="47"/>
      <c r="C199" s="47"/>
      <c r="K199" s="45"/>
      <c r="L199" s="47"/>
      <c r="M199" s="47"/>
      <c r="N199" s="45"/>
      <c r="O199" s="45"/>
      <c r="P199" s="45"/>
      <c r="Q199" s="45"/>
      <c r="R199" s="47"/>
      <c r="S199" s="45"/>
      <c r="T199" s="45"/>
      <c r="U199" s="590"/>
      <c r="V199" s="45"/>
      <c r="W199" s="45"/>
      <c r="X199" s="45"/>
      <c r="Y199" s="45"/>
      <c r="Z199" s="45"/>
      <c r="AA199" s="45"/>
      <c r="AB199" s="47"/>
      <c r="AC199" s="47"/>
      <c r="AD199" s="47"/>
      <c r="AE199" s="47"/>
    </row>
    <row r="200" s="119" customFormat="true" ht="11.25" hidden="false" customHeight="true" outlineLevel="0" collapsed="false">
      <c r="A200" s="589"/>
      <c r="B200" s="47"/>
      <c r="C200" s="47"/>
      <c r="K200" s="45"/>
      <c r="L200" s="47"/>
      <c r="M200" s="47"/>
      <c r="N200" s="45"/>
      <c r="O200" s="45"/>
      <c r="P200" s="45"/>
      <c r="Q200" s="45"/>
      <c r="R200" s="47"/>
      <c r="S200" s="45"/>
      <c r="T200" s="45"/>
      <c r="U200" s="590"/>
      <c r="V200" s="45"/>
      <c r="W200" s="45"/>
      <c r="X200" s="45"/>
      <c r="Y200" s="45"/>
      <c r="Z200" s="45"/>
      <c r="AA200" s="45"/>
      <c r="AB200" s="47"/>
      <c r="AC200" s="47"/>
      <c r="AD200" s="47"/>
      <c r="AE200" s="47"/>
    </row>
    <row r="201" s="119" customFormat="true" ht="11.25" hidden="false" customHeight="true" outlineLevel="0" collapsed="false">
      <c r="A201" s="589"/>
      <c r="B201" s="47"/>
      <c r="C201" s="47"/>
      <c r="K201" s="45"/>
      <c r="L201" s="47"/>
      <c r="M201" s="47"/>
      <c r="N201" s="45"/>
      <c r="O201" s="45"/>
      <c r="P201" s="45"/>
      <c r="Q201" s="45"/>
      <c r="R201" s="47"/>
      <c r="S201" s="45"/>
      <c r="T201" s="45"/>
      <c r="U201" s="590"/>
      <c r="V201" s="45"/>
      <c r="W201" s="45"/>
      <c r="X201" s="45"/>
      <c r="Y201" s="45"/>
      <c r="Z201" s="45"/>
      <c r="AA201" s="45"/>
      <c r="AB201" s="47"/>
      <c r="AC201" s="47"/>
      <c r="AD201" s="47"/>
      <c r="AE201" s="47"/>
    </row>
    <row r="202" s="119" customFormat="true" ht="11.25" hidden="false" customHeight="true" outlineLevel="0" collapsed="false">
      <c r="A202" s="589"/>
      <c r="B202" s="47"/>
      <c r="C202" s="47"/>
      <c r="K202" s="45"/>
      <c r="L202" s="47"/>
      <c r="M202" s="47"/>
      <c r="N202" s="45"/>
      <c r="O202" s="45"/>
      <c r="P202" s="45"/>
      <c r="Q202" s="45"/>
      <c r="R202" s="47"/>
      <c r="S202" s="45"/>
      <c r="T202" s="45"/>
      <c r="U202" s="590"/>
      <c r="V202" s="45"/>
      <c r="W202" s="45"/>
      <c r="X202" s="45"/>
      <c r="Y202" s="45"/>
      <c r="Z202" s="45"/>
      <c r="AA202" s="45"/>
      <c r="AB202" s="47"/>
      <c r="AC202" s="47"/>
      <c r="AD202" s="47"/>
      <c r="AE202" s="47"/>
    </row>
    <row r="203" s="119" customFormat="true" ht="11.25" hidden="false" customHeight="true" outlineLevel="0" collapsed="false">
      <c r="A203" s="589"/>
      <c r="B203" s="47"/>
      <c r="C203" s="47"/>
      <c r="K203" s="45"/>
      <c r="L203" s="47"/>
      <c r="M203" s="47"/>
      <c r="N203" s="45"/>
      <c r="O203" s="45"/>
      <c r="P203" s="45"/>
      <c r="Q203" s="45"/>
      <c r="R203" s="47"/>
      <c r="S203" s="45"/>
      <c r="T203" s="45"/>
      <c r="U203" s="590"/>
      <c r="V203" s="45"/>
      <c r="W203" s="45"/>
      <c r="X203" s="45"/>
      <c r="Y203" s="45"/>
      <c r="Z203" s="45"/>
      <c r="AA203" s="45"/>
      <c r="AB203" s="47"/>
      <c r="AC203" s="47"/>
      <c r="AD203" s="47"/>
      <c r="AE203" s="47"/>
    </row>
    <row r="204" s="119" customFormat="true" ht="11.25" hidden="false" customHeight="true" outlineLevel="0" collapsed="false">
      <c r="A204" s="589"/>
      <c r="B204" s="47"/>
      <c r="C204" s="47"/>
      <c r="K204" s="45"/>
      <c r="L204" s="47"/>
      <c r="M204" s="47"/>
      <c r="N204" s="45"/>
      <c r="O204" s="45"/>
      <c r="P204" s="45"/>
      <c r="Q204" s="45"/>
      <c r="R204" s="47"/>
      <c r="S204" s="45"/>
      <c r="T204" s="45"/>
      <c r="U204" s="590"/>
      <c r="V204" s="45"/>
      <c r="W204" s="45"/>
      <c r="X204" s="45"/>
      <c r="Y204" s="45"/>
      <c r="Z204" s="45"/>
      <c r="AA204" s="45"/>
      <c r="AB204" s="47"/>
      <c r="AC204" s="47"/>
      <c r="AD204" s="47"/>
      <c r="AE204" s="47"/>
    </row>
    <row r="205" s="119" customFormat="true" ht="11.25" hidden="false" customHeight="true" outlineLevel="0" collapsed="false">
      <c r="A205" s="589"/>
      <c r="B205" s="47"/>
      <c r="C205" s="47"/>
      <c r="K205" s="45"/>
      <c r="L205" s="47"/>
      <c r="M205" s="47"/>
      <c r="N205" s="45"/>
      <c r="O205" s="45"/>
      <c r="P205" s="45"/>
      <c r="Q205" s="45"/>
      <c r="R205" s="47"/>
      <c r="S205" s="45"/>
      <c r="T205" s="45"/>
      <c r="U205" s="590"/>
      <c r="V205" s="45"/>
      <c r="W205" s="45"/>
      <c r="X205" s="45"/>
      <c r="Y205" s="45"/>
      <c r="Z205" s="45"/>
      <c r="AA205" s="45"/>
      <c r="AB205" s="47"/>
      <c r="AC205" s="47"/>
      <c r="AD205" s="47"/>
      <c r="AE205" s="47"/>
    </row>
    <row r="206" s="119" customFormat="true" ht="11.25" hidden="false" customHeight="true" outlineLevel="0" collapsed="false">
      <c r="A206" s="589"/>
      <c r="B206" s="47"/>
      <c r="C206" s="47"/>
      <c r="K206" s="45"/>
      <c r="L206" s="47"/>
      <c r="M206" s="47"/>
      <c r="N206" s="45"/>
      <c r="O206" s="45"/>
      <c r="P206" s="45"/>
      <c r="Q206" s="45"/>
      <c r="R206" s="47"/>
      <c r="S206" s="45"/>
      <c r="T206" s="45"/>
      <c r="U206" s="590"/>
      <c r="V206" s="45"/>
      <c r="W206" s="45"/>
      <c r="X206" s="45"/>
      <c r="Y206" s="45"/>
      <c r="Z206" s="45"/>
      <c r="AA206" s="45"/>
      <c r="AB206" s="47"/>
      <c r="AC206" s="47"/>
      <c r="AD206" s="47"/>
      <c r="AE206" s="47"/>
    </row>
    <row r="207" s="119" customFormat="true" ht="11.25" hidden="false" customHeight="true" outlineLevel="0" collapsed="false">
      <c r="A207" s="589"/>
      <c r="B207" s="47"/>
      <c r="C207" s="47"/>
      <c r="K207" s="45"/>
      <c r="L207" s="47"/>
      <c r="M207" s="47"/>
      <c r="N207" s="45"/>
      <c r="O207" s="45"/>
      <c r="P207" s="45"/>
      <c r="Q207" s="45"/>
      <c r="R207" s="47"/>
      <c r="S207" s="45"/>
      <c r="T207" s="45"/>
      <c r="U207" s="590"/>
      <c r="V207" s="45"/>
      <c r="W207" s="45"/>
      <c r="X207" s="45"/>
      <c r="Y207" s="45"/>
      <c r="Z207" s="45"/>
      <c r="AA207" s="45"/>
      <c r="AB207" s="47"/>
      <c r="AC207" s="47"/>
      <c r="AD207" s="47"/>
      <c r="AE207" s="47"/>
    </row>
    <row r="208" s="119" customFormat="true" ht="11.25" hidden="false" customHeight="true" outlineLevel="0" collapsed="false">
      <c r="A208" s="589"/>
      <c r="B208" s="47"/>
      <c r="C208" s="47"/>
      <c r="K208" s="45"/>
      <c r="L208" s="47"/>
      <c r="M208" s="47"/>
      <c r="N208" s="45"/>
      <c r="O208" s="45"/>
      <c r="P208" s="45"/>
      <c r="Q208" s="45"/>
      <c r="R208" s="47"/>
      <c r="S208" s="45"/>
      <c r="T208" s="45"/>
      <c r="U208" s="590"/>
      <c r="V208" s="45"/>
      <c r="W208" s="45"/>
      <c r="X208" s="45"/>
      <c r="Y208" s="45"/>
      <c r="Z208" s="45"/>
      <c r="AA208" s="45"/>
      <c r="AB208" s="47"/>
      <c r="AC208" s="47"/>
      <c r="AD208" s="47"/>
      <c r="AE208" s="47"/>
    </row>
    <row r="209" s="119" customFormat="true" ht="11.25" hidden="false" customHeight="true" outlineLevel="0" collapsed="false">
      <c r="A209" s="589"/>
      <c r="B209" s="47"/>
      <c r="C209" s="47"/>
      <c r="K209" s="45"/>
      <c r="L209" s="47"/>
      <c r="M209" s="47"/>
      <c r="N209" s="45"/>
      <c r="O209" s="45"/>
      <c r="P209" s="45"/>
      <c r="Q209" s="45"/>
      <c r="R209" s="47"/>
      <c r="S209" s="45"/>
      <c r="T209" s="45"/>
      <c r="U209" s="590"/>
      <c r="V209" s="45"/>
      <c r="W209" s="45"/>
      <c r="X209" s="45"/>
      <c r="Y209" s="45"/>
      <c r="Z209" s="45"/>
      <c r="AA209" s="45"/>
      <c r="AB209" s="47"/>
      <c r="AC209" s="47"/>
      <c r="AD209" s="47"/>
      <c r="AE209" s="47"/>
    </row>
    <row r="210" s="119" customFormat="true" ht="11.25" hidden="false" customHeight="true" outlineLevel="0" collapsed="false">
      <c r="A210" s="589"/>
      <c r="B210" s="47"/>
      <c r="C210" s="47"/>
      <c r="K210" s="45"/>
      <c r="L210" s="47"/>
      <c r="M210" s="47"/>
      <c r="N210" s="45"/>
      <c r="O210" s="45"/>
      <c r="P210" s="45"/>
      <c r="Q210" s="45"/>
      <c r="R210" s="47"/>
      <c r="S210" s="45"/>
      <c r="T210" s="45"/>
      <c r="U210" s="590"/>
      <c r="V210" s="45"/>
      <c r="W210" s="45"/>
      <c r="X210" s="45"/>
      <c r="Y210" s="45"/>
      <c r="Z210" s="45"/>
      <c r="AA210" s="45"/>
      <c r="AB210" s="47"/>
      <c r="AC210" s="47"/>
      <c r="AD210" s="47"/>
      <c r="AE210" s="47"/>
    </row>
    <row r="211" s="119" customFormat="true" ht="11.25" hidden="false" customHeight="true" outlineLevel="0" collapsed="false">
      <c r="A211" s="589"/>
      <c r="B211" s="47"/>
      <c r="C211" s="47"/>
      <c r="K211" s="45"/>
      <c r="L211" s="47"/>
      <c r="M211" s="47"/>
      <c r="N211" s="45"/>
      <c r="O211" s="45"/>
      <c r="P211" s="45"/>
      <c r="Q211" s="45"/>
      <c r="R211" s="47"/>
      <c r="S211" s="45"/>
      <c r="T211" s="45"/>
      <c r="U211" s="590"/>
      <c r="V211" s="45"/>
      <c r="W211" s="45"/>
      <c r="X211" s="45"/>
      <c r="Y211" s="45"/>
      <c r="Z211" s="45"/>
      <c r="AA211" s="45"/>
      <c r="AB211" s="47"/>
      <c r="AC211" s="47"/>
      <c r="AD211" s="47"/>
      <c r="AE211" s="47"/>
    </row>
    <row r="212" s="119" customFormat="true" ht="11.25" hidden="false" customHeight="true" outlineLevel="0" collapsed="false">
      <c r="A212" s="589"/>
      <c r="B212" s="47"/>
      <c r="C212" s="47"/>
      <c r="K212" s="45"/>
      <c r="L212" s="47"/>
      <c r="M212" s="47"/>
      <c r="N212" s="45"/>
      <c r="O212" s="45"/>
      <c r="P212" s="45"/>
      <c r="Q212" s="45"/>
      <c r="R212" s="47"/>
      <c r="S212" s="45"/>
      <c r="T212" s="45"/>
      <c r="U212" s="590"/>
      <c r="V212" s="45"/>
      <c r="W212" s="45"/>
      <c r="X212" s="45"/>
      <c r="Y212" s="45"/>
      <c r="Z212" s="45"/>
      <c r="AA212" s="45"/>
      <c r="AB212" s="47"/>
      <c r="AC212" s="47"/>
      <c r="AD212" s="47"/>
      <c r="AE212" s="47"/>
    </row>
    <row r="213" s="119" customFormat="true" ht="11.25" hidden="false" customHeight="true" outlineLevel="0" collapsed="false">
      <c r="A213" s="589"/>
      <c r="B213" s="47"/>
      <c r="C213" s="47"/>
      <c r="K213" s="45"/>
      <c r="L213" s="47"/>
      <c r="M213" s="47"/>
      <c r="N213" s="45"/>
      <c r="O213" s="45"/>
      <c r="P213" s="45"/>
      <c r="Q213" s="45"/>
      <c r="R213" s="47"/>
      <c r="S213" s="45"/>
      <c r="T213" s="45"/>
      <c r="U213" s="590"/>
      <c r="V213" s="45"/>
      <c r="W213" s="45"/>
      <c r="X213" s="45"/>
      <c r="Y213" s="45"/>
      <c r="Z213" s="45"/>
      <c r="AA213" s="45"/>
      <c r="AB213" s="47"/>
      <c r="AC213" s="47"/>
      <c r="AD213" s="47"/>
      <c r="AE213" s="47"/>
    </row>
    <row r="214" s="119" customFormat="true" ht="11.25" hidden="false" customHeight="true" outlineLevel="0" collapsed="false">
      <c r="A214" s="589"/>
      <c r="B214" s="47"/>
      <c r="C214" s="47"/>
      <c r="K214" s="45"/>
      <c r="L214" s="47"/>
      <c r="M214" s="47"/>
      <c r="N214" s="45"/>
      <c r="O214" s="45"/>
      <c r="P214" s="45"/>
      <c r="Q214" s="45"/>
      <c r="R214" s="47"/>
      <c r="S214" s="45"/>
      <c r="T214" s="45"/>
      <c r="U214" s="590"/>
      <c r="V214" s="45"/>
      <c r="W214" s="45"/>
      <c r="X214" s="45"/>
      <c r="Y214" s="45"/>
      <c r="Z214" s="45"/>
      <c r="AA214" s="45"/>
      <c r="AB214" s="47"/>
      <c r="AC214" s="47"/>
      <c r="AD214" s="47"/>
      <c r="AE214" s="47"/>
    </row>
    <row r="215" s="119" customFormat="true" ht="11.25" hidden="false" customHeight="true" outlineLevel="0" collapsed="false">
      <c r="A215" s="589"/>
      <c r="B215" s="47"/>
      <c r="C215" s="47"/>
      <c r="K215" s="45"/>
      <c r="L215" s="47"/>
      <c r="M215" s="47"/>
      <c r="N215" s="45"/>
      <c r="O215" s="45"/>
      <c r="P215" s="45"/>
      <c r="Q215" s="45"/>
      <c r="R215" s="47"/>
      <c r="S215" s="45"/>
      <c r="T215" s="45"/>
      <c r="U215" s="590"/>
      <c r="V215" s="45"/>
      <c r="W215" s="45"/>
      <c r="X215" s="45"/>
      <c r="Y215" s="45"/>
      <c r="Z215" s="45"/>
      <c r="AA215" s="45"/>
      <c r="AB215" s="47"/>
      <c r="AC215" s="47"/>
      <c r="AD215" s="47"/>
      <c r="AE215" s="47"/>
    </row>
    <row r="216" s="119" customFormat="true" ht="11.25" hidden="false" customHeight="true" outlineLevel="0" collapsed="false">
      <c r="A216" s="589"/>
      <c r="B216" s="47"/>
      <c r="C216" s="47"/>
      <c r="K216" s="45"/>
      <c r="L216" s="47"/>
      <c r="M216" s="47"/>
      <c r="N216" s="45"/>
      <c r="O216" s="45"/>
      <c r="P216" s="45"/>
      <c r="Q216" s="45"/>
      <c r="R216" s="47"/>
      <c r="S216" s="45"/>
      <c r="T216" s="45"/>
      <c r="U216" s="590"/>
      <c r="V216" s="45"/>
      <c r="W216" s="45"/>
      <c r="X216" s="45"/>
      <c r="Y216" s="45"/>
      <c r="Z216" s="45"/>
      <c r="AA216" s="45"/>
      <c r="AB216" s="47"/>
      <c r="AC216" s="47"/>
      <c r="AD216" s="47"/>
      <c r="AE216" s="47"/>
    </row>
    <row r="217" s="119" customFormat="true" ht="11.25" hidden="false" customHeight="true" outlineLevel="0" collapsed="false">
      <c r="A217" s="589"/>
      <c r="B217" s="47"/>
      <c r="C217" s="47"/>
      <c r="K217" s="45"/>
      <c r="L217" s="47"/>
      <c r="M217" s="47"/>
      <c r="N217" s="45"/>
      <c r="O217" s="45"/>
      <c r="P217" s="45"/>
      <c r="Q217" s="45"/>
      <c r="R217" s="47"/>
      <c r="S217" s="45"/>
      <c r="T217" s="45"/>
      <c r="U217" s="590"/>
      <c r="V217" s="45"/>
      <c r="W217" s="45"/>
      <c r="X217" s="45"/>
      <c r="Y217" s="45"/>
      <c r="Z217" s="45"/>
      <c r="AA217" s="45"/>
      <c r="AB217" s="47"/>
      <c r="AC217" s="47"/>
      <c r="AD217" s="47"/>
      <c r="AE217" s="47"/>
    </row>
    <row r="218" s="119" customFormat="true" ht="11.25" hidden="false" customHeight="true" outlineLevel="0" collapsed="false">
      <c r="A218" s="589"/>
      <c r="B218" s="47"/>
      <c r="C218" s="47"/>
      <c r="K218" s="45"/>
      <c r="L218" s="47"/>
      <c r="M218" s="47"/>
      <c r="N218" s="45"/>
      <c r="O218" s="45"/>
      <c r="P218" s="45"/>
      <c r="Q218" s="45"/>
      <c r="R218" s="47"/>
      <c r="S218" s="45"/>
      <c r="T218" s="45"/>
      <c r="U218" s="590"/>
      <c r="V218" s="45"/>
      <c r="W218" s="45"/>
      <c r="X218" s="45"/>
      <c r="Y218" s="45"/>
      <c r="Z218" s="45"/>
      <c r="AA218" s="45"/>
      <c r="AB218" s="47"/>
      <c r="AC218" s="47"/>
      <c r="AD218" s="47"/>
      <c r="AE218" s="47"/>
    </row>
    <row r="219" s="119" customFormat="true" ht="11.25" hidden="false" customHeight="true" outlineLevel="0" collapsed="false">
      <c r="A219" s="589"/>
      <c r="B219" s="47"/>
      <c r="C219" s="47"/>
      <c r="K219" s="45"/>
      <c r="L219" s="47"/>
      <c r="M219" s="47"/>
      <c r="N219" s="45"/>
      <c r="O219" s="45"/>
      <c r="P219" s="45"/>
      <c r="Q219" s="45"/>
      <c r="R219" s="47"/>
      <c r="S219" s="45"/>
      <c r="T219" s="45"/>
      <c r="U219" s="590"/>
      <c r="V219" s="45"/>
      <c r="W219" s="45"/>
      <c r="X219" s="45"/>
      <c r="Y219" s="45"/>
      <c r="Z219" s="45"/>
      <c r="AA219" s="45"/>
      <c r="AB219" s="47"/>
      <c r="AC219" s="47"/>
      <c r="AD219" s="47"/>
      <c r="AE219" s="47"/>
    </row>
    <row r="220" s="119" customFormat="true" ht="11.25" hidden="false" customHeight="true" outlineLevel="0" collapsed="false">
      <c r="A220" s="589"/>
      <c r="B220" s="47"/>
      <c r="C220" s="47"/>
      <c r="K220" s="45"/>
      <c r="L220" s="47"/>
      <c r="M220" s="47"/>
      <c r="N220" s="45"/>
      <c r="O220" s="45"/>
      <c r="P220" s="45"/>
      <c r="Q220" s="45"/>
      <c r="R220" s="47"/>
      <c r="S220" s="45"/>
      <c r="T220" s="45"/>
      <c r="U220" s="590"/>
      <c r="V220" s="45"/>
      <c r="W220" s="45"/>
      <c r="X220" s="45"/>
      <c r="Y220" s="45"/>
      <c r="Z220" s="45"/>
      <c r="AA220" s="45"/>
      <c r="AB220" s="47"/>
      <c r="AC220" s="47"/>
      <c r="AD220" s="47"/>
      <c r="AE220" s="47"/>
    </row>
    <row r="221" s="119" customFormat="true" ht="11.25" hidden="false" customHeight="true" outlineLevel="0" collapsed="false">
      <c r="A221" s="589"/>
      <c r="B221" s="47"/>
      <c r="C221" s="47"/>
      <c r="K221" s="45"/>
      <c r="L221" s="47"/>
      <c r="M221" s="47"/>
      <c r="N221" s="45"/>
      <c r="O221" s="45"/>
      <c r="P221" s="45"/>
      <c r="Q221" s="45"/>
      <c r="R221" s="47"/>
      <c r="S221" s="45"/>
      <c r="T221" s="45"/>
      <c r="U221" s="590"/>
      <c r="V221" s="45"/>
      <c r="W221" s="45"/>
      <c r="X221" s="45"/>
      <c r="Y221" s="45"/>
      <c r="Z221" s="45"/>
      <c r="AA221" s="45"/>
      <c r="AB221" s="47"/>
      <c r="AC221" s="47"/>
      <c r="AD221" s="47"/>
      <c r="AE221" s="47"/>
    </row>
    <row r="222" s="119" customFormat="true" ht="11.25" hidden="false" customHeight="true" outlineLevel="0" collapsed="false">
      <c r="A222" s="589"/>
      <c r="B222" s="47"/>
      <c r="C222" s="47"/>
      <c r="K222" s="45"/>
      <c r="L222" s="47"/>
      <c r="M222" s="47"/>
      <c r="N222" s="45"/>
      <c r="O222" s="45"/>
      <c r="P222" s="45"/>
      <c r="Q222" s="45"/>
      <c r="R222" s="47"/>
      <c r="S222" s="45"/>
      <c r="T222" s="45"/>
      <c r="U222" s="590"/>
      <c r="V222" s="45"/>
      <c r="W222" s="45"/>
      <c r="X222" s="45"/>
      <c r="Y222" s="45"/>
      <c r="Z222" s="45"/>
      <c r="AA222" s="45"/>
      <c r="AB222" s="47"/>
      <c r="AC222" s="47"/>
      <c r="AD222" s="47"/>
      <c r="AE222" s="47"/>
    </row>
    <row r="223" s="119" customFormat="true" ht="11.25" hidden="false" customHeight="true" outlineLevel="0" collapsed="false">
      <c r="A223" s="589"/>
      <c r="B223" s="47"/>
      <c r="C223" s="47"/>
      <c r="K223" s="45"/>
      <c r="L223" s="47"/>
      <c r="M223" s="47"/>
      <c r="N223" s="45"/>
      <c r="O223" s="45"/>
      <c r="P223" s="45"/>
      <c r="Q223" s="45"/>
      <c r="R223" s="47"/>
      <c r="S223" s="45"/>
      <c r="T223" s="45"/>
      <c r="U223" s="590"/>
      <c r="V223" s="45"/>
      <c r="W223" s="45"/>
      <c r="X223" s="45"/>
      <c r="Y223" s="45"/>
      <c r="Z223" s="45"/>
      <c r="AA223" s="45"/>
      <c r="AB223" s="47"/>
      <c r="AC223" s="47"/>
      <c r="AD223" s="47"/>
      <c r="AE223" s="47"/>
    </row>
    <row r="224" s="119" customFormat="true" ht="11.25" hidden="false" customHeight="true" outlineLevel="0" collapsed="false">
      <c r="A224" s="589"/>
      <c r="B224" s="47"/>
      <c r="C224" s="47"/>
      <c r="K224" s="45"/>
      <c r="L224" s="47"/>
      <c r="M224" s="47"/>
      <c r="N224" s="45"/>
      <c r="O224" s="45"/>
      <c r="P224" s="45"/>
      <c r="Q224" s="45"/>
      <c r="R224" s="47"/>
      <c r="S224" s="45"/>
      <c r="T224" s="45"/>
      <c r="U224" s="590"/>
      <c r="V224" s="45"/>
      <c r="W224" s="45"/>
      <c r="X224" s="45"/>
      <c r="Y224" s="45"/>
      <c r="Z224" s="45"/>
      <c r="AA224" s="45"/>
      <c r="AB224" s="47"/>
      <c r="AC224" s="47"/>
      <c r="AD224" s="47"/>
      <c r="AE224" s="47"/>
    </row>
    <row r="225" s="119" customFormat="true" ht="11.25" hidden="false" customHeight="true" outlineLevel="0" collapsed="false">
      <c r="A225" s="589"/>
      <c r="B225" s="47"/>
      <c r="C225" s="47"/>
      <c r="K225" s="45"/>
      <c r="L225" s="47"/>
      <c r="M225" s="47"/>
      <c r="N225" s="45"/>
      <c r="O225" s="45"/>
      <c r="P225" s="45"/>
      <c r="Q225" s="45"/>
      <c r="R225" s="47"/>
      <c r="S225" s="45"/>
      <c r="T225" s="45"/>
      <c r="U225" s="590"/>
      <c r="V225" s="45"/>
      <c r="W225" s="45"/>
      <c r="X225" s="45"/>
      <c r="Y225" s="45"/>
      <c r="Z225" s="45"/>
      <c r="AA225" s="45"/>
      <c r="AB225" s="47"/>
      <c r="AC225" s="47"/>
      <c r="AD225" s="47"/>
      <c r="AE225" s="47"/>
    </row>
    <row r="226" s="119" customFormat="true" ht="11.25" hidden="false" customHeight="true" outlineLevel="0" collapsed="false">
      <c r="A226" s="589"/>
      <c r="B226" s="47"/>
      <c r="C226" s="47"/>
      <c r="K226" s="45"/>
      <c r="L226" s="47"/>
      <c r="M226" s="47"/>
      <c r="N226" s="45"/>
      <c r="O226" s="45"/>
      <c r="P226" s="45"/>
      <c r="Q226" s="45"/>
      <c r="R226" s="47"/>
      <c r="S226" s="45"/>
      <c r="T226" s="45"/>
      <c r="U226" s="590"/>
      <c r="V226" s="45"/>
      <c r="W226" s="45"/>
      <c r="X226" s="45"/>
      <c r="Y226" s="45"/>
      <c r="Z226" s="45"/>
      <c r="AA226" s="45"/>
      <c r="AB226" s="47"/>
      <c r="AC226" s="47"/>
      <c r="AD226" s="47"/>
      <c r="AE226" s="47"/>
    </row>
    <row r="227" s="119" customFormat="true" ht="11.25" hidden="false" customHeight="true" outlineLevel="0" collapsed="false">
      <c r="A227" s="589"/>
      <c r="B227" s="47"/>
      <c r="C227" s="47"/>
      <c r="K227" s="45"/>
      <c r="L227" s="47"/>
      <c r="M227" s="47"/>
      <c r="N227" s="45"/>
      <c r="O227" s="45"/>
      <c r="P227" s="45"/>
      <c r="Q227" s="45"/>
      <c r="R227" s="47"/>
      <c r="S227" s="45"/>
      <c r="T227" s="45"/>
      <c r="U227" s="590"/>
      <c r="V227" s="45"/>
      <c r="W227" s="45"/>
      <c r="X227" s="45"/>
      <c r="Y227" s="45"/>
      <c r="Z227" s="45"/>
      <c r="AA227" s="45"/>
      <c r="AB227" s="47"/>
      <c r="AC227" s="47"/>
      <c r="AD227" s="47"/>
      <c r="AE227" s="47"/>
    </row>
    <row r="228" s="119" customFormat="true" ht="11.25" hidden="false" customHeight="true" outlineLevel="0" collapsed="false">
      <c r="A228" s="589"/>
      <c r="B228" s="47"/>
      <c r="C228" s="47"/>
      <c r="K228" s="45"/>
      <c r="L228" s="47"/>
      <c r="M228" s="47"/>
      <c r="N228" s="45"/>
      <c r="O228" s="45"/>
      <c r="P228" s="45"/>
      <c r="Q228" s="45"/>
      <c r="R228" s="47"/>
      <c r="S228" s="45"/>
      <c r="T228" s="45"/>
      <c r="U228" s="590"/>
      <c r="V228" s="45"/>
      <c r="W228" s="45"/>
      <c r="X228" s="45"/>
      <c r="Y228" s="45"/>
      <c r="Z228" s="45"/>
      <c r="AA228" s="45"/>
      <c r="AB228" s="47"/>
      <c r="AC228" s="47"/>
      <c r="AD228" s="47"/>
      <c r="AE228" s="47"/>
    </row>
    <row r="229" s="119" customFormat="true" ht="11.25" hidden="false" customHeight="true" outlineLevel="0" collapsed="false">
      <c r="A229" s="589"/>
      <c r="B229" s="47"/>
      <c r="C229" s="47"/>
      <c r="K229" s="45"/>
      <c r="L229" s="47"/>
      <c r="M229" s="47"/>
      <c r="N229" s="45"/>
      <c r="O229" s="45"/>
      <c r="P229" s="45"/>
      <c r="Q229" s="45"/>
      <c r="R229" s="47"/>
      <c r="S229" s="45"/>
      <c r="T229" s="45"/>
      <c r="U229" s="590"/>
      <c r="V229" s="45"/>
      <c r="W229" s="45"/>
      <c r="X229" s="45"/>
      <c r="Y229" s="45"/>
      <c r="Z229" s="45"/>
      <c r="AA229" s="45"/>
      <c r="AB229" s="47"/>
      <c r="AC229" s="47"/>
      <c r="AD229" s="47"/>
      <c r="AE229" s="47"/>
    </row>
    <row r="230" s="119" customFormat="true" ht="11.25" hidden="false" customHeight="true" outlineLevel="0" collapsed="false">
      <c r="A230" s="589"/>
      <c r="B230" s="47"/>
      <c r="C230" s="47"/>
      <c r="K230" s="45"/>
      <c r="L230" s="47"/>
      <c r="M230" s="47"/>
      <c r="N230" s="45"/>
      <c r="O230" s="45"/>
      <c r="P230" s="45"/>
      <c r="Q230" s="45"/>
      <c r="R230" s="47"/>
      <c r="S230" s="45"/>
      <c r="T230" s="45"/>
      <c r="U230" s="590"/>
      <c r="V230" s="45"/>
      <c r="W230" s="45"/>
      <c r="X230" s="45"/>
      <c r="Y230" s="45"/>
      <c r="Z230" s="45"/>
      <c r="AA230" s="45"/>
      <c r="AB230" s="47"/>
      <c r="AC230" s="47"/>
      <c r="AD230" s="47"/>
      <c r="AE230" s="47"/>
    </row>
    <row r="231" s="119" customFormat="true" ht="11.25" hidden="false" customHeight="true" outlineLevel="0" collapsed="false">
      <c r="A231" s="589"/>
      <c r="B231" s="47"/>
      <c r="C231" s="47"/>
      <c r="K231" s="45"/>
      <c r="L231" s="47"/>
      <c r="M231" s="47"/>
      <c r="N231" s="45"/>
      <c r="O231" s="45"/>
      <c r="P231" s="45"/>
      <c r="Q231" s="45"/>
      <c r="R231" s="47"/>
      <c r="S231" s="45"/>
      <c r="T231" s="45"/>
      <c r="U231" s="590"/>
      <c r="V231" s="45"/>
      <c r="W231" s="45"/>
      <c r="X231" s="45"/>
      <c r="Y231" s="45"/>
      <c r="Z231" s="45"/>
      <c r="AA231" s="45"/>
      <c r="AB231" s="47"/>
      <c r="AC231" s="47"/>
      <c r="AD231" s="47"/>
      <c r="AE231" s="47"/>
    </row>
    <row r="232" s="119" customFormat="true" ht="11.25" hidden="false" customHeight="true" outlineLevel="0" collapsed="false">
      <c r="A232" s="589"/>
      <c r="B232" s="47"/>
      <c r="C232" s="47"/>
      <c r="K232" s="45"/>
      <c r="L232" s="47"/>
      <c r="M232" s="47"/>
      <c r="N232" s="45"/>
      <c r="O232" s="45"/>
      <c r="P232" s="45"/>
      <c r="Q232" s="45"/>
      <c r="R232" s="47"/>
      <c r="S232" s="45"/>
      <c r="T232" s="45"/>
      <c r="U232" s="590"/>
      <c r="V232" s="45"/>
      <c r="W232" s="45"/>
      <c r="X232" s="45"/>
      <c r="Y232" s="45"/>
      <c r="Z232" s="45"/>
      <c r="AA232" s="45"/>
      <c r="AB232" s="47"/>
      <c r="AC232" s="47"/>
      <c r="AD232" s="47"/>
      <c r="AE232" s="47"/>
    </row>
    <row r="233" s="119" customFormat="true" ht="11.25" hidden="false" customHeight="true" outlineLevel="0" collapsed="false">
      <c r="A233" s="589"/>
      <c r="B233" s="47"/>
      <c r="C233" s="47"/>
      <c r="K233" s="45"/>
      <c r="L233" s="47"/>
      <c r="M233" s="47"/>
      <c r="N233" s="45"/>
      <c r="O233" s="45"/>
      <c r="P233" s="45"/>
      <c r="Q233" s="45"/>
      <c r="R233" s="47"/>
      <c r="S233" s="45"/>
      <c r="T233" s="45"/>
      <c r="U233" s="590"/>
      <c r="V233" s="45"/>
      <c r="W233" s="45"/>
      <c r="X233" s="45"/>
      <c r="Y233" s="45"/>
      <c r="Z233" s="45"/>
      <c r="AA233" s="45"/>
      <c r="AB233" s="47"/>
      <c r="AC233" s="47"/>
      <c r="AD233" s="47"/>
      <c r="AE233" s="47"/>
    </row>
    <row r="234" s="119" customFormat="true" ht="11.25" hidden="false" customHeight="true" outlineLevel="0" collapsed="false">
      <c r="A234" s="589"/>
      <c r="B234" s="47"/>
      <c r="C234" s="47"/>
      <c r="K234" s="45"/>
      <c r="L234" s="47"/>
      <c r="M234" s="47"/>
      <c r="N234" s="45"/>
      <c r="O234" s="45"/>
      <c r="P234" s="45"/>
      <c r="Q234" s="45"/>
      <c r="R234" s="47"/>
      <c r="S234" s="45"/>
      <c r="T234" s="45"/>
      <c r="U234" s="590"/>
      <c r="V234" s="45"/>
      <c r="W234" s="45"/>
      <c r="X234" s="45"/>
      <c r="Y234" s="45"/>
      <c r="Z234" s="45"/>
      <c r="AA234" s="45"/>
      <c r="AB234" s="47"/>
      <c r="AC234" s="47"/>
      <c r="AD234" s="47"/>
      <c r="AE234" s="47"/>
    </row>
    <row r="235" s="119" customFormat="true" ht="11.25" hidden="false" customHeight="true" outlineLevel="0" collapsed="false">
      <c r="A235" s="589"/>
      <c r="B235" s="47"/>
      <c r="C235" s="47"/>
      <c r="K235" s="45"/>
      <c r="L235" s="47"/>
      <c r="M235" s="47"/>
      <c r="N235" s="45"/>
      <c r="O235" s="45"/>
      <c r="P235" s="45"/>
      <c r="Q235" s="45"/>
      <c r="R235" s="47"/>
      <c r="S235" s="45"/>
      <c r="T235" s="45"/>
      <c r="U235" s="590"/>
      <c r="V235" s="45"/>
      <c r="W235" s="45"/>
      <c r="X235" s="45"/>
      <c r="Y235" s="45"/>
      <c r="Z235" s="45"/>
      <c r="AA235" s="45"/>
      <c r="AB235" s="47"/>
      <c r="AC235" s="47"/>
      <c r="AD235" s="47"/>
      <c r="AE235" s="47"/>
    </row>
    <row r="236" s="119" customFormat="true" ht="11.25" hidden="false" customHeight="true" outlineLevel="0" collapsed="false">
      <c r="A236" s="589"/>
      <c r="B236" s="47"/>
      <c r="C236" s="47"/>
      <c r="K236" s="45"/>
      <c r="L236" s="47"/>
      <c r="M236" s="47"/>
      <c r="N236" s="45"/>
      <c r="O236" s="45"/>
      <c r="P236" s="45"/>
      <c r="Q236" s="45"/>
      <c r="R236" s="47"/>
      <c r="S236" s="45"/>
      <c r="T236" s="45"/>
      <c r="U236" s="590"/>
      <c r="V236" s="45"/>
      <c r="W236" s="45"/>
      <c r="X236" s="45"/>
      <c r="Y236" s="45"/>
      <c r="Z236" s="45"/>
      <c r="AA236" s="45"/>
      <c r="AB236" s="47"/>
      <c r="AC236" s="47"/>
      <c r="AD236" s="47"/>
      <c r="AE236" s="47"/>
    </row>
    <row r="237" s="119" customFormat="true" ht="11.25" hidden="false" customHeight="true" outlineLevel="0" collapsed="false">
      <c r="A237" s="589"/>
      <c r="B237" s="47"/>
      <c r="C237" s="47"/>
      <c r="K237" s="45"/>
      <c r="L237" s="47"/>
      <c r="M237" s="47"/>
      <c r="N237" s="45"/>
      <c r="O237" s="45"/>
      <c r="P237" s="45"/>
      <c r="Q237" s="45"/>
      <c r="R237" s="47"/>
      <c r="S237" s="45"/>
      <c r="T237" s="45"/>
      <c r="U237" s="590"/>
      <c r="V237" s="45"/>
      <c r="W237" s="45"/>
      <c r="X237" s="45"/>
      <c r="Y237" s="45"/>
      <c r="Z237" s="45"/>
      <c r="AA237" s="45"/>
      <c r="AB237" s="47"/>
      <c r="AC237" s="47"/>
      <c r="AD237" s="47"/>
      <c r="AE237" s="47"/>
    </row>
    <row r="238" s="119" customFormat="true" ht="11.25" hidden="false" customHeight="true" outlineLevel="0" collapsed="false">
      <c r="A238" s="589"/>
      <c r="B238" s="47"/>
      <c r="C238" s="47"/>
      <c r="K238" s="45"/>
      <c r="L238" s="47"/>
      <c r="M238" s="47"/>
      <c r="N238" s="45"/>
      <c r="O238" s="45"/>
      <c r="P238" s="45"/>
      <c r="Q238" s="45"/>
      <c r="R238" s="47"/>
      <c r="S238" s="45"/>
      <c r="T238" s="45"/>
      <c r="U238" s="590"/>
      <c r="V238" s="45"/>
      <c r="W238" s="45"/>
      <c r="X238" s="45"/>
      <c r="Y238" s="45"/>
      <c r="Z238" s="45"/>
      <c r="AA238" s="45"/>
      <c r="AB238" s="47"/>
      <c r="AC238" s="47"/>
      <c r="AD238" s="47"/>
      <c r="AE238" s="47"/>
    </row>
    <row r="239" s="119" customFormat="true" ht="11.25" hidden="false" customHeight="true" outlineLevel="0" collapsed="false">
      <c r="A239" s="589"/>
      <c r="B239" s="47"/>
      <c r="C239" s="47"/>
      <c r="K239" s="45"/>
      <c r="L239" s="47"/>
      <c r="M239" s="47"/>
      <c r="N239" s="45"/>
      <c r="O239" s="45"/>
      <c r="P239" s="45"/>
      <c r="Q239" s="45"/>
      <c r="R239" s="47"/>
      <c r="S239" s="45"/>
      <c r="T239" s="45"/>
      <c r="U239" s="590"/>
      <c r="V239" s="45"/>
      <c r="W239" s="45"/>
      <c r="X239" s="45"/>
      <c r="Y239" s="45"/>
      <c r="Z239" s="45"/>
      <c r="AA239" s="45"/>
      <c r="AB239" s="47"/>
      <c r="AC239" s="47"/>
      <c r="AD239" s="47"/>
      <c r="AE239" s="47"/>
    </row>
    <row r="240" s="119" customFormat="true" ht="11.25" hidden="false" customHeight="true" outlineLevel="0" collapsed="false">
      <c r="A240" s="589"/>
      <c r="B240" s="47"/>
      <c r="C240" s="47"/>
      <c r="K240" s="45"/>
      <c r="L240" s="47"/>
      <c r="M240" s="47"/>
      <c r="N240" s="45"/>
      <c r="O240" s="45"/>
      <c r="P240" s="45"/>
      <c r="Q240" s="45"/>
      <c r="R240" s="47"/>
      <c r="S240" s="45"/>
      <c r="T240" s="45"/>
      <c r="U240" s="590"/>
      <c r="V240" s="45"/>
      <c r="W240" s="45"/>
      <c r="X240" s="45"/>
      <c r="Y240" s="45"/>
      <c r="Z240" s="45"/>
      <c r="AA240" s="45"/>
      <c r="AB240" s="47"/>
      <c r="AC240" s="47"/>
      <c r="AD240" s="47"/>
      <c r="AE240" s="47"/>
    </row>
    <row r="241" s="119" customFormat="true" ht="11.25" hidden="false" customHeight="true" outlineLevel="0" collapsed="false">
      <c r="A241" s="589"/>
      <c r="B241" s="47"/>
      <c r="C241" s="47"/>
      <c r="K241" s="45"/>
      <c r="L241" s="47"/>
      <c r="M241" s="47"/>
      <c r="N241" s="45"/>
      <c r="O241" s="45"/>
      <c r="P241" s="45"/>
      <c r="Q241" s="45"/>
      <c r="R241" s="47"/>
      <c r="S241" s="45"/>
      <c r="T241" s="45"/>
      <c r="U241" s="590"/>
      <c r="V241" s="45"/>
      <c r="W241" s="45"/>
      <c r="X241" s="45"/>
      <c r="Y241" s="45"/>
      <c r="Z241" s="45"/>
      <c r="AA241" s="45"/>
      <c r="AB241" s="47"/>
      <c r="AC241" s="47"/>
      <c r="AD241" s="47"/>
      <c r="AE241" s="47"/>
    </row>
    <row r="242" s="119" customFormat="true" ht="11.25" hidden="false" customHeight="true" outlineLevel="0" collapsed="false">
      <c r="A242" s="589"/>
      <c r="B242" s="47"/>
      <c r="C242" s="47"/>
      <c r="K242" s="45"/>
      <c r="L242" s="47"/>
      <c r="M242" s="47"/>
      <c r="N242" s="45"/>
      <c r="O242" s="45"/>
      <c r="P242" s="45"/>
      <c r="Q242" s="45"/>
      <c r="R242" s="47"/>
      <c r="S242" s="45"/>
      <c r="T242" s="45"/>
      <c r="U242" s="590"/>
      <c r="V242" s="45"/>
      <c r="W242" s="45"/>
      <c r="X242" s="45"/>
      <c r="Y242" s="45"/>
      <c r="Z242" s="45"/>
      <c r="AA242" s="45"/>
      <c r="AB242" s="47"/>
      <c r="AC242" s="47"/>
      <c r="AD242" s="47"/>
      <c r="AE242" s="47"/>
    </row>
    <row r="243" s="119" customFormat="true" ht="11.25" hidden="false" customHeight="true" outlineLevel="0" collapsed="false">
      <c r="A243" s="589"/>
      <c r="B243" s="47"/>
      <c r="C243" s="47"/>
      <c r="K243" s="45"/>
      <c r="L243" s="47"/>
      <c r="M243" s="47"/>
      <c r="N243" s="45"/>
      <c r="O243" s="45"/>
      <c r="P243" s="45"/>
      <c r="Q243" s="45"/>
      <c r="R243" s="47"/>
      <c r="S243" s="45"/>
      <c r="T243" s="45"/>
      <c r="U243" s="590"/>
      <c r="V243" s="45"/>
      <c r="W243" s="45"/>
      <c r="X243" s="45"/>
      <c r="Y243" s="45"/>
      <c r="Z243" s="45"/>
      <c r="AA243" s="45"/>
      <c r="AB243" s="47"/>
      <c r="AC243" s="47"/>
      <c r="AD243" s="47"/>
      <c r="AE243" s="47"/>
    </row>
    <row r="244" s="119" customFormat="true" ht="11.25" hidden="false" customHeight="true" outlineLevel="0" collapsed="false">
      <c r="A244" s="589"/>
      <c r="B244" s="47"/>
      <c r="C244" s="47"/>
      <c r="K244" s="45"/>
      <c r="L244" s="47"/>
      <c r="M244" s="47"/>
      <c r="N244" s="45"/>
      <c r="O244" s="45"/>
      <c r="P244" s="45"/>
      <c r="Q244" s="45"/>
      <c r="R244" s="47"/>
      <c r="S244" s="45"/>
      <c r="T244" s="45"/>
      <c r="U244" s="590"/>
      <c r="V244" s="45"/>
      <c r="W244" s="45"/>
      <c r="X244" s="45"/>
      <c r="Y244" s="45"/>
      <c r="Z244" s="45"/>
      <c r="AA244" s="45"/>
      <c r="AB244" s="47"/>
      <c r="AC244" s="47"/>
      <c r="AD244" s="47"/>
      <c r="AE244" s="47"/>
    </row>
    <row r="245" s="119" customFormat="true" ht="11.25" hidden="false" customHeight="true" outlineLevel="0" collapsed="false">
      <c r="A245" s="589"/>
      <c r="B245" s="47"/>
      <c r="C245" s="47"/>
      <c r="K245" s="45"/>
      <c r="L245" s="47"/>
      <c r="M245" s="47"/>
      <c r="N245" s="45"/>
      <c r="O245" s="45"/>
      <c r="P245" s="45"/>
      <c r="Q245" s="45"/>
      <c r="R245" s="47"/>
      <c r="S245" s="45"/>
      <c r="T245" s="45"/>
      <c r="U245" s="590"/>
      <c r="V245" s="45"/>
      <c r="W245" s="45"/>
      <c r="X245" s="45"/>
      <c r="Y245" s="45"/>
      <c r="Z245" s="45"/>
      <c r="AA245" s="45"/>
      <c r="AB245" s="47"/>
      <c r="AC245" s="47"/>
      <c r="AD245" s="47"/>
      <c r="AE245" s="47"/>
    </row>
    <row r="246" s="119" customFormat="true" ht="11.25" hidden="false" customHeight="true" outlineLevel="0" collapsed="false">
      <c r="A246" s="589"/>
      <c r="B246" s="47"/>
      <c r="C246" s="47"/>
      <c r="K246" s="45"/>
      <c r="L246" s="47"/>
      <c r="M246" s="47"/>
      <c r="N246" s="45"/>
      <c r="O246" s="45"/>
      <c r="P246" s="45"/>
      <c r="Q246" s="45"/>
      <c r="R246" s="47"/>
      <c r="S246" s="45"/>
      <c r="T246" s="45"/>
      <c r="U246" s="590"/>
      <c r="V246" s="45"/>
      <c r="W246" s="45"/>
      <c r="X246" s="45"/>
      <c r="Y246" s="45"/>
      <c r="Z246" s="45"/>
      <c r="AA246" s="45"/>
      <c r="AB246" s="47"/>
      <c r="AC246" s="47"/>
      <c r="AD246" s="47"/>
      <c r="AE246" s="47"/>
    </row>
    <row r="247" s="119" customFormat="true" ht="11.25" hidden="false" customHeight="true" outlineLevel="0" collapsed="false">
      <c r="A247" s="589"/>
      <c r="B247" s="47"/>
      <c r="C247" s="47"/>
      <c r="K247" s="45"/>
      <c r="L247" s="47"/>
      <c r="M247" s="47"/>
      <c r="N247" s="45"/>
      <c r="O247" s="45"/>
      <c r="P247" s="45"/>
      <c r="Q247" s="45"/>
      <c r="R247" s="47"/>
      <c r="S247" s="45"/>
      <c r="T247" s="45"/>
      <c r="U247" s="590"/>
      <c r="V247" s="45"/>
      <c r="W247" s="45"/>
      <c r="X247" s="45"/>
      <c r="Y247" s="45"/>
      <c r="Z247" s="45"/>
      <c r="AA247" s="45"/>
      <c r="AB247" s="47"/>
      <c r="AC247" s="47"/>
      <c r="AD247" s="47"/>
      <c r="AE247" s="47"/>
    </row>
    <row r="248" s="119" customFormat="true" ht="11.25" hidden="false" customHeight="true" outlineLevel="0" collapsed="false">
      <c r="A248" s="589"/>
      <c r="B248" s="47"/>
      <c r="C248" s="47"/>
      <c r="K248" s="45"/>
      <c r="L248" s="47"/>
      <c r="M248" s="47"/>
      <c r="N248" s="45"/>
      <c r="O248" s="45"/>
      <c r="P248" s="45"/>
      <c r="Q248" s="45"/>
      <c r="R248" s="47"/>
      <c r="S248" s="45"/>
      <c r="T248" s="45"/>
      <c r="U248" s="590"/>
      <c r="V248" s="45"/>
      <c r="W248" s="45"/>
      <c r="X248" s="45"/>
      <c r="Y248" s="45"/>
      <c r="Z248" s="45"/>
      <c r="AA248" s="45"/>
      <c r="AB248" s="47"/>
      <c r="AC248" s="47"/>
      <c r="AD248" s="47"/>
      <c r="AE248" s="47"/>
    </row>
    <row r="249" s="119" customFormat="true" ht="11.25" hidden="false" customHeight="true" outlineLevel="0" collapsed="false">
      <c r="A249" s="589"/>
      <c r="B249" s="47"/>
      <c r="C249" s="47"/>
      <c r="K249" s="45"/>
      <c r="L249" s="47"/>
      <c r="M249" s="47"/>
      <c r="N249" s="45"/>
      <c r="O249" s="45"/>
      <c r="P249" s="45"/>
      <c r="Q249" s="45"/>
      <c r="R249" s="47"/>
      <c r="S249" s="45"/>
      <c r="T249" s="45"/>
      <c r="U249" s="590"/>
      <c r="V249" s="45"/>
      <c r="W249" s="45"/>
      <c r="X249" s="45"/>
      <c r="Y249" s="45"/>
      <c r="Z249" s="45"/>
      <c r="AA249" s="45"/>
      <c r="AB249" s="47"/>
      <c r="AC249" s="47"/>
      <c r="AD249" s="47"/>
      <c r="AE249" s="47"/>
    </row>
    <row r="250" s="119" customFormat="true" ht="11.25" hidden="false" customHeight="true" outlineLevel="0" collapsed="false">
      <c r="A250" s="589"/>
      <c r="B250" s="47"/>
      <c r="C250" s="47"/>
      <c r="K250" s="45"/>
      <c r="L250" s="47"/>
      <c r="M250" s="47"/>
      <c r="N250" s="45"/>
      <c r="O250" s="45"/>
      <c r="P250" s="45"/>
      <c r="Q250" s="45"/>
      <c r="R250" s="47"/>
      <c r="S250" s="45"/>
      <c r="T250" s="45"/>
      <c r="U250" s="590"/>
      <c r="V250" s="45"/>
      <c r="W250" s="45"/>
      <c r="X250" s="45"/>
      <c r="Y250" s="45"/>
      <c r="Z250" s="45"/>
      <c r="AA250" s="45"/>
      <c r="AB250" s="47"/>
      <c r="AC250" s="47"/>
      <c r="AD250" s="47"/>
      <c r="AE250" s="47"/>
    </row>
    <row r="251" s="119" customFormat="true" ht="11.25" hidden="false" customHeight="true" outlineLevel="0" collapsed="false">
      <c r="A251" s="589"/>
      <c r="B251" s="47"/>
      <c r="C251" s="47"/>
      <c r="K251" s="45"/>
      <c r="L251" s="47"/>
      <c r="M251" s="47"/>
      <c r="N251" s="45"/>
      <c r="O251" s="45"/>
      <c r="P251" s="45"/>
      <c r="Q251" s="45"/>
      <c r="R251" s="47"/>
      <c r="S251" s="45"/>
      <c r="T251" s="45"/>
      <c r="U251" s="590"/>
      <c r="V251" s="45"/>
      <c r="W251" s="45"/>
      <c r="X251" s="45"/>
      <c r="Y251" s="45"/>
      <c r="Z251" s="45"/>
      <c r="AA251" s="45"/>
      <c r="AB251" s="47"/>
      <c r="AC251" s="47"/>
      <c r="AD251" s="47"/>
      <c r="AE251" s="47"/>
    </row>
    <row r="252" s="119" customFormat="true" ht="11.25" hidden="false" customHeight="true" outlineLevel="0" collapsed="false">
      <c r="A252" s="589"/>
      <c r="B252" s="47"/>
      <c r="C252" s="47"/>
      <c r="K252" s="45"/>
      <c r="L252" s="47"/>
      <c r="M252" s="47"/>
      <c r="N252" s="45"/>
      <c r="O252" s="45"/>
      <c r="P252" s="45"/>
      <c r="Q252" s="45"/>
      <c r="R252" s="47"/>
      <c r="S252" s="45"/>
      <c r="T252" s="45"/>
      <c r="U252" s="590"/>
      <c r="V252" s="45"/>
      <c r="W252" s="45"/>
      <c r="X252" s="45"/>
      <c r="Y252" s="45"/>
      <c r="Z252" s="45"/>
      <c r="AA252" s="45"/>
      <c r="AB252" s="47"/>
      <c r="AC252" s="47"/>
      <c r="AD252" s="47"/>
      <c r="AE252" s="47"/>
    </row>
    <row r="253" s="119" customFormat="true" ht="11.25" hidden="false" customHeight="true" outlineLevel="0" collapsed="false">
      <c r="A253" s="589"/>
      <c r="B253" s="47"/>
      <c r="C253" s="47"/>
      <c r="K253" s="45"/>
      <c r="L253" s="47"/>
      <c r="M253" s="47"/>
      <c r="N253" s="45"/>
      <c r="O253" s="45"/>
      <c r="P253" s="45"/>
      <c r="Q253" s="45"/>
      <c r="R253" s="47"/>
      <c r="S253" s="45"/>
      <c r="T253" s="45"/>
      <c r="U253" s="590"/>
      <c r="V253" s="45"/>
      <c r="W253" s="45"/>
      <c r="X253" s="45"/>
      <c r="Y253" s="45"/>
      <c r="Z253" s="45"/>
      <c r="AA253" s="45"/>
      <c r="AB253" s="47"/>
      <c r="AC253" s="47"/>
      <c r="AD253" s="47"/>
      <c r="AE253" s="47"/>
    </row>
    <row r="254" s="119" customFormat="true" ht="11.25" hidden="false" customHeight="true" outlineLevel="0" collapsed="false">
      <c r="A254" s="589"/>
      <c r="B254" s="47"/>
      <c r="C254" s="47"/>
      <c r="K254" s="45"/>
      <c r="L254" s="47"/>
      <c r="M254" s="47"/>
      <c r="N254" s="45"/>
      <c r="O254" s="45"/>
      <c r="P254" s="45"/>
      <c r="Q254" s="45"/>
      <c r="R254" s="47"/>
      <c r="S254" s="45"/>
      <c r="T254" s="45"/>
      <c r="U254" s="590"/>
      <c r="V254" s="45"/>
      <c r="W254" s="45"/>
      <c r="X254" s="45"/>
      <c r="Y254" s="45"/>
      <c r="Z254" s="45"/>
      <c r="AA254" s="45"/>
      <c r="AB254" s="47"/>
      <c r="AC254" s="47"/>
      <c r="AD254" s="47"/>
      <c r="AE254" s="47"/>
    </row>
    <row r="255" s="119" customFormat="true" ht="11.25" hidden="false" customHeight="true" outlineLevel="0" collapsed="false">
      <c r="A255" s="589"/>
      <c r="B255" s="47"/>
      <c r="C255" s="47"/>
      <c r="K255" s="45"/>
      <c r="L255" s="47"/>
      <c r="M255" s="47"/>
      <c r="N255" s="45"/>
      <c r="O255" s="45"/>
      <c r="P255" s="45"/>
      <c r="Q255" s="45"/>
      <c r="R255" s="47"/>
      <c r="S255" s="45"/>
      <c r="T255" s="45"/>
      <c r="U255" s="590"/>
      <c r="V255" s="45"/>
      <c r="W255" s="45"/>
      <c r="X255" s="45"/>
      <c r="Y255" s="45"/>
      <c r="Z255" s="45"/>
      <c r="AA255" s="45"/>
      <c r="AB255" s="47"/>
      <c r="AC255" s="47"/>
      <c r="AD255" s="47"/>
      <c r="AE255" s="47"/>
    </row>
    <row r="256" s="119" customFormat="true" ht="11.25" hidden="false" customHeight="true" outlineLevel="0" collapsed="false">
      <c r="A256" s="589"/>
      <c r="B256" s="47"/>
      <c r="C256" s="47"/>
      <c r="K256" s="45"/>
      <c r="L256" s="47"/>
      <c r="M256" s="47"/>
      <c r="N256" s="45"/>
      <c r="O256" s="45"/>
      <c r="P256" s="45"/>
      <c r="Q256" s="45"/>
      <c r="R256" s="47"/>
      <c r="S256" s="45"/>
      <c r="T256" s="45"/>
      <c r="U256" s="590"/>
      <c r="V256" s="45"/>
      <c r="W256" s="45"/>
      <c r="X256" s="45"/>
      <c r="Y256" s="45"/>
      <c r="Z256" s="45"/>
      <c r="AA256" s="45"/>
      <c r="AB256" s="47"/>
      <c r="AC256" s="47"/>
      <c r="AD256" s="47"/>
      <c r="AE256" s="47"/>
    </row>
    <row r="257" s="119" customFormat="true" ht="11.25" hidden="false" customHeight="true" outlineLevel="0" collapsed="false">
      <c r="A257" s="589"/>
      <c r="B257" s="47"/>
      <c r="C257" s="47"/>
      <c r="K257" s="45"/>
      <c r="L257" s="47"/>
      <c r="M257" s="47"/>
      <c r="N257" s="45"/>
      <c r="O257" s="45"/>
      <c r="P257" s="45"/>
      <c r="Q257" s="45"/>
      <c r="R257" s="47"/>
      <c r="S257" s="45"/>
      <c r="T257" s="45"/>
      <c r="U257" s="590"/>
      <c r="V257" s="45"/>
      <c r="W257" s="45"/>
      <c r="X257" s="45"/>
      <c r="Y257" s="45"/>
      <c r="Z257" s="45"/>
      <c r="AA257" s="45"/>
      <c r="AB257" s="47"/>
      <c r="AC257" s="47"/>
      <c r="AD257" s="47"/>
      <c r="AE257" s="47"/>
    </row>
    <row r="258" s="119" customFormat="true" ht="11.25" hidden="false" customHeight="true" outlineLevel="0" collapsed="false">
      <c r="A258" s="589"/>
      <c r="B258" s="47"/>
      <c r="C258" s="47"/>
      <c r="K258" s="45"/>
      <c r="L258" s="47"/>
      <c r="M258" s="47"/>
      <c r="N258" s="45"/>
      <c r="O258" s="45"/>
      <c r="P258" s="45"/>
      <c r="Q258" s="45"/>
      <c r="R258" s="47"/>
      <c r="S258" s="45"/>
      <c r="T258" s="45"/>
      <c r="U258" s="590"/>
      <c r="V258" s="45"/>
      <c r="W258" s="45"/>
      <c r="X258" s="45"/>
      <c r="Y258" s="45"/>
      <c r="Z258" s="45"/>
      <c r="AA258" s="45"/>
      <c r="AB258" s="47"/>
      <c r="AC258" s="47"/>
      <c r="AD258" s="47"/>
      <c r="AE258" s="47"/>
    </row>
    <row r="259" s="119" customFormat="true" ht="11.25" hidden="false" customHeight="true" outlineLevel="0" collapsed="false">
      <c r="A259" s="589"/>
      <c r="B259" s="47"/>
      <c r="C259" s="47"/>
      <c r="K259" s="45"/>
      <c r="L259" s="47"/>
      <c r="M259" s="47"/>
      <c r="N259" s="45"/>
      <c r="O259" s="45"/>
      <c r="P259" s="45"/>
      <c r="Q259" s="45"/>
      <c r="R259" s="47"/>
      <c r="S259" s="45"/>
      <c r="T259" s="45"/>
      <c r="U259" s="590"/>
      <c r="V259" s="45"/>
      <c r="W259" s="45"/>
      <c r="X259" s="45"/>
      <c r="Y259" s="45"/>
      <c r="Z259" s="45"/>
      <c r="AA259" s="45"/>
      <c r="AB259" s="47"/>
      <c r="AC259" s="47"/>
      <c r="AD259" s="47"/>
      <c r="AE259" s="47"/>
    </row>
    <row r="260" s="119" customFormat="true" ht="11.25" hidden="false" customHeight="true" outlineLevel="0" collapsed="false">
      <c r="A260" s="589"/>
      <c r="B260" s="47"/>
      <c r="C260" s="47"/>
      <c r="K260" s="45"/>
      <c r="L260" s="47"/>
      <c r="M260" s="47"/>
      <c r="N260" s="45"/>
      <c r="O260" s="45"/>
      <c r="P260" s="45"/>
      <c r="Q260" s="45"/>
      <c r="R260" s="47"/>
      <c r="S260" s="45"/>
      <c r="T260" s="45"/>
      <c r="U260" s="590"/>
      <c r="V260" s="45"/>
      <c r="W260" s="45"/>
      <c r="X260" s="45"/>
      <c r="Y260" s="45"/>
      <c r="Z260" s="45"/>
      <c r="AA260" s="45"/>
      <c r="AB260" s="47"/>
      <c r="AC260" s="47"/>
      <c r="AD260" s="47"/>
      <c r="AE260" s="47"/>
    </row>
    <row r="261" s="119" customFormat="true" ht="11.25" hidden="false" customHeight="true" outlineLevel="0" collapsed="false">
      <c r="A261" s="589"/>
      <c r="B261" s="47"/>
      <c r="C261" s="47"/>
      <c r="K261" s="45"/>
      <c r="L261" s="47"/>
      <c r="M261" s="47"/>
      <c r="N261" s="45"/>
      <c r="O261" s="45"/>
      <c r="P261" s="45"/>
      <c r="Q261" s="45"/>
      <c r="R261" s="47"/>
      <c r="S261" s="45"/>
      <c r="T261" s="45"/>
      <c r="U261" s="590"/>
      <c r="V261" s="45"/>
      <c r="W261" s="45"/>
      <c r="X261" s="45"/>
      <c r="Y261" s="45"/>
      <c r="Z261" s="45"/>
      <c r="AA261" s="45"/>
      <c r="AB261" s="47"/>
      <c r="AC261" s="47"/>
      <c r="AD261" s="47"/>
      <c r="AE261" s="47"/>
    </row>
    <row r="262" s="119" customFormat="true" ht="11.25" hidden="false" customHeight="true" outlineLevel="0" collapsed="false">
      <c r="A262" s="589"/>
      <c r="B262" s="47"/>
      <c r="C262" s="47"/>
      <c r="K262" s="45"/>
      <c r="L262" s="47"/>
      <c r="M262" s="47"/>
      <c r="N262" s="45"/>
      <c r="O262" s="45"/>
      <c r="P262" s="45"/>
      <c r="Q262" s="45"/>
      <c r="R262" s="47"/>
      <c r="S262" s="45"/>
      <c r="T262" s="45"/>
      <c r="U262" s="590"/>
      <c r="V262" s="45"/>
      <c r="W262" s="45"/>
      <c r="X262" s="45"/>
      <c r="Y262" s="45"/>
      <c r="Z262" s="45"/>
      <c r="AA262" s="45"/>
      <c r="AB262" s="47"/>
      <c r="AC262" s="47"/>
      <c r="AD262" s="47"/>
      <c r="AE262" s="47"/>
    </row>
    <row r="263" s="119" customFormat="true" ht="11.25" hidden="false" customHeight="true" outlineLevel="0" collapsed="false">
      <c r="A263" s="589"/>
      <c r="B263" s="47"/>
      <c r="C263" s="47"/>
      <c r="K263" s="45"/>
      <c r="L263" s="47"/>
      <c r="M263" s="47"/>
      <c r="N263" s="45"/>
      <c r="O263" s="45"/>
      <c r="P263" s="45"/>
      <c r="Q263" s="45"/>
      <c r="R263" s="47"/>
      <c r="S263" s="45"/>
      <c r="T263" s="45"/>
      <c r="U263" s="590"/>
      <c r="V263" s="45"/>
      <c r="W263" s="45"/>
      <c r="X263" s="45"/>
      <c r="Y263" s="45"/>
      <c r="Z263" s="45"/>
      <c r="AA263" s="45"/>
      <c r="AB263" s="47"/>
      <c r="AC263" s="47"/>
      <c r="AD263" s="47"/>
      <c r="AE263" s="47"/>
    </row>
    <row r="264" s="119" customFormat="true" ht="11.25" hidden="false" customHeight="true" outlineLevel="0" collapsed="false">
      <c r="A264" s="589"/>
      <c r="B264" s="47"/>
      <c r="C264" s="47"/>
      <c r="K264" s="45"/>
      <c r="L264" s="47"/>
      <c r="M264" s="47"/>
      <c r="N264" s="45"/>
      <c r="O264" s="45"/>
      <c r="P264" s="45"/>
      <c r="Q264" s="45"/>
      <c r="R264" s="47"/>
      <c r="S264" s="45"/>
      <c r="T264" s="45"/>
      <c r="U264" s="590"/>
      <c r="V264" s="45"/>
      <c r="W264" s="45"/>
      <c r="X264" s="45"/>
      <c r="Y264" s="45"/>
      <c r="Z264" s="45"/>
      <c r="AA264" s="45"/>
      <c r="AB264" s="47"/>
      <c r="AC264" s="47"/>
      <c r="AD264" s="47"/>
      <c r="AE264" s="47"/>
    </row>
    <row r="265" s="119" customFormat="true" ht="11.25" hidden="false" customHeight="true" outlineLevel="0" collapsed="false">
      <c r="A265" s="589"/>
      <c r="B265" s="47"/>
      <c r="C265" s="47"/>
      <c r="K265" s="45"/>
      <c r="L265" s="47"/>
      <c r="M265" s="47"/>
      <c r="N265" s="45"/>
      <c r="O265" s="45"/>
      <c r="P265" s="45"/>
      <c r="Q265" s="45"/>
      <c r="R265" s="47"/>
      <c r="S265" s="45"/>
      <c r="T265" s="45"/>
      <c r="U265" s="590"/>
      <c r="V265" s="45"/>
      <c r="W265" s="45"/>
      <c r="X265" s="45"/>
      <c r="Y265" s="45"/>
      <c r="Z265" s="45"/>
      <c r="AA265" s="45"/>
      <c r="AB265" s="47"/>
      <c r="AC265" s="47"/>
      <c r="AD265" s="47"/>
      <c r="AE265" s="47"/>
    </row>
    <row r="266" s="119" customFormat="true" ht="11.25" hidden="false" customHeight="true" outlineLevel="0" collapsed="false">
      <c r="A266" s="589"/>
      <c r="B266" s="47"/>
      <c r="C266" s="47"/>
      <c r="K266" s="45"/>
      <c r="L266" s="47"/>
      <c r="M266" s="47"/>
      <c r="N266" s="45"/>
      <c r="O266" s="45"/>
      <c r="P266" s="45"/>
      <c r="Q266" s="45"/>
      <c r="R266" s="47"/>
      <c r="S266" s="45"/>
      <c r="T266" s="45"/>
      <c r="U266" s="590"/>
      <c r="V266" s="45"/>
      <c r="W266" s="45"/>
      <c r="X266" s="45"/>
      <c r="Y266" s="45"/>
      <c r="Z266" s="45"/>
      <c r="AA266" s="45"/>
      <c r="AB266" s="47"/>
      <c r="AC266" s="47"/>
      <c r="AD266" s="47"/>
      <c r="AE266" s="47"/>
    </row>
    <row r="267" s="119" customFormat="true" ht="11.25" hidden="false" customHeight="true" outlineLevel="0" collapsed="false">
      <c r="A267" s="589"/>
      <c r="B267" s="47"/>
      <c r="C267" s="47"/>
      <c r="K267" s="45"/>
      <c r="L267" s="47"/>
      <c r="M267" s="47"/>
      <c r="N267" s="45"/>
      <c r="O267" s="45"/>
      <c r="P267" s="45"/>
      <c r="Q267" s="45"/>
      <c r="R267" s="47"/>
      <c r="S267" s="45"/>
      <c r="T267" s="45"/>
      <c r="U267" s="590"/>
      <c r="V267" s="45"/>
      <c r="W267" s="45"/>
      <c r="X267" s="45"/>
      <c r="Y267" s="45"/>
      <c r="Z267" s="45"/>
      <c r="AA267" s="45"/>
      <c r="AB267" s="47"/>
      <c r="AC267" s="47"/>
      <c r="AD267" s="47"/>
      <c r="AE267" s="47"/>
    </row>
    <row r="268" s="119" customFormat="true" ht="11.25" hidden="false" customHeight="true" outlineLevel="0" collapsed="false">
      <c r="A268" s="589"/>
      <c r="B268" s="47"/>
      <c r="C268" s="47"/>
      <c r="K268" s="45"/>
      <c r="L268" s="47"/>
      <c r="M268" s="47"/>
      <c r="N268" s="45"/>
      <c r="O268" s="45"/>
      <c r="P268" s="45"/>
      <c r="Q268" s="45"/>
      <c r="R268" s="47"/>
      <c r="S268" s="45"/>
      <c r="T268" s="45"/>
      <c r="U268" s="590"/>
      <c r="V268" s="45"/>
      <c r="W268" s="45"/>
      <c r="X268" s="45"/>
      <c r="Y268" s="45"/>
      <c r="Z268" s="45"/>
      <c r="AA268" s="45"/>
      <c r="AB268" s="47"/>
      <c r="AC268" s="47"/>
      <c r="AD268" s="47"/>
      <c r="AE268" s="47"/>
    </row>
    <row r="269" s="119" customFormat="true" ht="11.25" hidden="false" customHeight="true" outlineLevel="0" collapsed="false">
      <c r="A269" s="589"/>
      <c r="B269" s="47"/>
      <c r="C269" s="47"/>
      <c r="K269" s="45"/>
      <c r="L269" s="47"/>
      <c r="M269" s="47"/>
      <c r="N269" s="45"/>
      <c r="O269" s="45"/>
      <c r="P269" s="45"/>
      <c r="Q269" s="45"/>
      <c r="R269" s="47"/>
      <c r="S269" s="45"/>
      <c r="T269" s="45"/>
      <c r="U269" s="590"/>
      <c r="V269" s="45"/>
      <c r="W269" s="45"/>
      <c r="X269" s="45"/>
      <c r="Y269" s="45"/>
      <c r="Z269" s="45"/>
      <c r="AA269" s="45"/>
      <c r="AB269" s="47"/>
      <c r="AC269" s="47"/>
      <c r="AD269" s="47"/>
      <c r="AE269" s="47"/>
    </row>
    <row r="270" s="119" customFormat="true" ht="11.25" hidden="false" customHeight="true" outlineLevel="0" collapsed="false">
      <c r="A270" s="589"/>
      <c r="B270" s="47"/>
      <c r="C270" s="47"/>
      <c r="K270" s="45"/>
      <c r="L270" s="47"/>
      <c r="M270" s="47"/>
      <c r="N270" s="45"/>
      <c r="O270" s="45"/>
      <c r="P270" s="45"/>
      <c r="Q270" s="45"/>
      <c r="R270" s="47"/>
      <c r="S270" s="45"/>
      <c r="T270" s="45"/>
      <c r="U270" s="590"/>
      <c r="V270" s="45"/>
      <c r="W270" s="45"/>
      <c r="X270" s="45"/>
      <c r="Y270" s="45"/>
      <c r="Z270" s="45"/>
      <c r="AA270" s="45"/>
      <c r="AB270" s="47"/>
      <c r="AC270" s="47"/>
      <c r="AD270" s="47"/>
      <c r="AE270" s="47"/>
    </row>
    <row r="271" s="119" customFormat="true" ht="11.25" hidden="false" customHeight="true" outlineLevel="0" collapsed="false">
      <c r="A271" s="589"/>
      <c r="B271" s="47"/>
      <c r="C271" s="47"/>
      <c r="K271" s="45"/>
      <c r="L271" s="47"/>
      <c r="M271" s="47"/>
      <c r="N271" s="45"/>
      <c r="O271" s="45"/>
      <c r="P271" s="45"/>
      <c r="Q271" s="45"/>
      <c r="R271" s="47"/>
      <c r="S271" s="45"/>
      <c r="T271" s="45"/>
      <c r="U271" s="590"/>
      <c r="V271" s="45"/>
      <c r="W271" s="45"/>
      <c r="X271" s="45"/>
      <c r="Y271" s="45"/>
      <c r="Z271" s="45"/>
      <c r="AA271" s="45"/>
      <c r="AB271" s="47"/>
      <c r="AC271" s="47"/>
      <c r="AD271" s="47"/>
      <c r="AE271" s="47"/>
    </row>
    <row r="272" s="119" customFormat="true" ht="11.25" hidden="false" customHeight="true" outlineLevel="0" collapsed="false">
      <c r="A272" s="589"/>
      <c r="B272" s="47"/>
      <c r="C272" s="47"/>
      <c r="K272" s="45"/>
      <c r="L272" s="47"/>
      <c r="M272" s="47"/>
      <c r="N272" s="45"/>
      <c r="O272" s="45"/>
      <c r="P272" s="45"/>
      <c r="Q272" s="45"/>
      <c r="R272" s="47"/>
      <c r="S272" s="45"/>
      <c r="T272" s="45"/>
      <c r="U272" s="590"/>
      <c r="V272" s="45"/>
      <c r="W272" s="45"/>
      <c r="X272" s="45"/>
      <c r="Y272" s="45"/>
      <c r="Z272" s="45"/>
      <c r="AA272" s="45"/>
      <c r="AB272" s="47"/>
      <c r="AC272" s="47"/>
      <c r="AD272" s="47"/>
      <c r="AE272" s="47"/>
    </row>
    <row r="273" s="119" customFormat="true" ht="11.25" hidden="false" customHeight="true" outlineLevel="0" collapsed="false">
      <c r="A273" s="589"/>
      <c r="B273" s="47"/>
      <c r="C273" s="47"/>
      <c r="K273" s="45"/>
      <c r="L273" s="47"/>
      <c r="M273" s="47"/>
      <c r="N273" s="45"/>
      <c r="O273" s="45"/>
      <c r="P273" s="45"/>
      <c r="Q273" s="45"/>
      <c r="R273" s="47"/>
      <c r="S273" s="45"/>
      <c r="T273" s="45"/>
      <c r="U273" s="590"/>
      <c r="V273" s="45"/>
      <c r="W273" s="45"/>
      <c r="X273" s="45"/>
      <c r="Y273" s="45"/>
      <c r="Z273" s="45"/>
      <c r="AA273" s="45"/>
      <c r="AB273" s="47"/>
      <c r="AC273" s="47"/>
      <c r="AD273" s="47"/>
      <c r="AE273" s="47"/>
    </row>
    <row r="274" s="119" customFormat="true" ht="11.25" hidden="false" customHeight="true" outlineLevel="0" collapsed="false">
      <c r="A274" s="589"/>
      <c r="B274" s="47"/>
      <c r="C274" s="47"/>
      <c r="K274" s="45"/>
      <c r="L274" s="47"/>
      <c r="M274" s="47"/>
      <c r="N274" s="45"/>
      <c r="O274" s="45"/>
      <c r="P274" s="45"/>
      <c r="Q274" s="45"/>
      <c r="R274" s="47"/>
      <c r="S274" s="45"/>
      <c r="T274" s="45"/>
      <c r="U274" s="590"/>
      <c r="V274" s="45"/>
      <c r="W274" s="45"/>
      <c r="X274" s="45"/>
      <c r="Y274" s="45"/>
      <c r="Z274" s="45"/>
      <c r="AA274" s="45"/>
      <c r="AB274" s="47"/>
      <c r="AC274" s="47"/>
      <c r="AD274" s="47"/>
      <c r="AE274" s="47"/>
    </row>
    <row r="275" s="119" customFormat="true" ht="11.25" hidden="false" customHeight="true" outlineLevel="0" collapsed="false">
      <c r="A275" s="589"/>
      <c r="B275" s="47"/>
      <c r="C275" s="47"/>
      <c r="K275" s="45"/>
      <c r="L275" s="47"/>
      <c r="M275" s="47"/>
      <c r="N275" s="45"/>
      <c r="O275" s="45"/>
      <c r="P275" s="45"/>
      <c r="Q275" s="45"/>
      <c r="R275" s="47"/>
      <c r="S275" s="45"/>
      <c r="T275" s="45"/>
      <c r="U275" s="590"/>
      <c r="V275" s="45"/>
      <c r="W275" s="45"/>
      <c r="X275" s="45"/>
      <c r="Y275" s="45"/>
      <c r="Z275" s="45"/>
      <c r="AA275" s="45"/>
      <c r="AB275" s="47"/>
      <c r="AC275" s="47"/>
      <c r="AD275" s="47"/>
      <c r="AE275" s="47"/>
    </row>
    <row r="276" s="119" customFormat="true" ht="11.25" hidden="false" customHeight="true" outlineLevel="0" collapsed="false">
      <c r="A276" s="589"/>
      <c r="B276" s="47"/>
      <c r="C276" s="47"/>
      <c r="K276" s="45"/>
      <c r="L276" s="47"/>
      <c r="M276" s="47"/>
      <c r="N276" s="45"/>
      <c r="O276" s="45"/>
      <c r="P276" s="45"/>
      <c r="Q276" s="45"/>
      <c r="R276" s="47"/>
      <c r="S276" s="45"/>
      <c r="T276" s="45"/>
      <c r="U276" s="590"/>
      <c r="V276" s="45"/>
      <c r="W276" s="45"/>
      <c r="X276" s="45"/>
      <c r="Y276" s="45"/>
      <c r="Z276" s="45"/>
      <c r="AA276" s="45"/>
      <c r="AB276" s="47"/>
      <c r="AC276" s="47"/>
      <c r="AD276" s="47"/>
      <c r="AE276" s="47"/>
    </row>
    <row r="277" s="119" customFormat="true" ht="11.25" hidden="false" customHeight="true" outlineLevel="0" collapsed="false">
      <c r="A277" s="589"/>
      <c r="B277" s="47"/>
      <c r="C277" s="47"/>
      <c r="K277" s="45"/>
      <c r="L277" s="47"/>
      <c r="M277" s="47"/>
      <c r="N277" s="45"/>
      <c r="O277" s="45"/>
      <c r="P277" s="45"/>
      <c r="Q277" s="45"/>
      <c r="R277" s="47"/>
      <c r="S277" s="45"/>
      <c r="T277" s="45"/>
      <c r="U277" s="590"/>
      <c r="V277" s="45"/>
      <c r="W277" s="45"/>
      <c r="X277" s="45"/>
      <c r="Y277" s="45"/>
      <c r="Z277" s="45"/>
      <c r="AA277" s="45"/>
      <c r="AB277" s="47"/>
      <c r="AC277" s="47"/>
      <c r="AD277" s="47"/>
      <c r="AE277" s="47"/>
    </row>
    <row r="278" s="119" customFormat="true" ht="11.25" hidden="false" customHeight="true" outlineLevel="0" collapsed="false">
      <c r="A278" s="589"/>
      <c r="B278" s="47"/>
      <c r="C278" s="47"/>
      <c r="K278" s="45"/>
      <c r="L278" s="47"/>
      <c r="M278" s="47"/>
      <c r="N278" s="45"/>
      <c r="O278" s="45"/>
      <c r="P278" s="45"/>
      <c r="Q278" s="45"/>
      <c r="R278" s="47"/>
      <c r="S278" s="45"/>
      <c r="T278" s="45"/>
      <c r="U278" s="590"/>
      <c r="V278" s="45"/>
      <c r="W278" s="45"/>
      <c r="X278" s="45"/>
      <c r="Y278" s="45"/>
      <c r="Z278" s="45"/>
      <c r="AA278" s="45"/>
      <c r="AB278" s="47"/>
      <c r="AC278" s="47"/>
      <c r="AD278" s="47"/>
      <c r="AE278" s="47"/>
    </row>
    <row r="279" s="119" customFormat="true" ht="11.25" hidden="false" customHeight="true" outlineLevel="0" collapsed="false">
      <c r="A279" s="589"/>
      <c r="B279" s="47"/>
      <c r="C279" s="47"/>
      <c r="K279" s="45"/>
      <c r="L279" s="47"/>
      <c r="M279" s="47"/>
      <c r="N279" s="45"/>
      <c r="O279" s="45"/>
      <c r="P279" s="45"/>
      <c r="Q279" s="45"/>
      <c r="R279" s="47"/>
      <c r="S279" s="45"/>
      <c r="T279" s="45"/>
      <c r="U279" s="590"/>
      <c r="V279" s="45"/>
      <c r="W279" s="45"/>
      <c r="X279" s="45"/>
      <c r="Y279" s="45"/>
      <c r="Z279" s="45"/>
      <c r="AA279" s="45"/>
      <c r="AB279" s="47"/>
      <c r="AC279" s="47"/>
      <c r="AD279" s="47"/>
      <c r="AE279" s="47"/>
    </row>
    <row r="280" s="119" customFormat="true" ht="11.25" hidden="false" customHeight="true" outlineLevel="0" collapsed="false">
      <c r="A280" s="589"/>
      <c r="B280" s="47"/>
      <c r="C280" s="47"/>
      <c r="K280" s="45"/>
      <c r="L280" s="47"/>
      <c r="M280" s="47"/>
      <c r="N280" s="45"/>
      <c r="O280" s="45"/>
      <c r="P280" s="45"/>
      <c r="Q280" s="45"/>
      <c r="R280" s="47"/>
      <c r="S280" s="45"/>
      <c r="T280" s="45"/>
      <c r="U280" s="590"/>
      <c r="V280" s="45"/>
      <c r="W280" s="45"/>
      <c r="X280" s="45"/>
      <c r="Y280" s="45"/>
      <c r="Z280" s="45"/>
      <c r="AA280" s="45"/>
      <c r="AB280" s="47"/>
      <c r="AC280" s="47"/>
      <c r="AD280" s="47"/>
      <c r="AE280" s="47"/>
    </row>
    <row r="281" s="119" customFormat="true" ht="11.25" hidden="false" customHeight="true" outlineLevel="0" collapsed="false">
      <c r="A281" s="589"/>
      <c r="B281" s="47"/>
      <c r="C281" s="47"/>
      <c r="K281" s="45"/>
      <c r="L281" s="47"/>
      <c r="M281" s="47"/>
      <c r="N281" s="45"/>
      <c r="O281" s="45"/>
      <c r="P281" s="45"/>
      <c r="Q281" s="45"/>
      <c r="R281" s="47"/>
      <c r="S281" s="45"/>
      <c r="T281" s="45"/>
      <c r="U281" s="590"/>
      <c r="V281" s="45"/>
      <c r="W281" s="45"/>
      <c r="X281" s="45"/>
      <c r="Y281" s="45"/>
      <c r="Z281" s="45"/>
      <c r="AA281" s="45"/>
      <c r="AB281" s="47"/>
      <c r="AC281" s="47"/>
      <c r="AD281" s="47"/>
      <c r="AE281" s="47"/>
    </row>
    <row r="282" s="119" customFormat="true" ht="11.25" hidden="false" customHeight="true" outlineLevel="0" collapsed="false">
      <c r="A282" s="589"/>
      <c r="B282" s="47"/>
      <c r="C282" s="47"/>
      <c r="K282" s="45"/>
      <c r="L282" s="47"/>
      <c r="M282" s="47"/>
      <c r="N282" s="45"/>
      <c r="O282" s="45"/>
      <c r="P282" s="45"/>
      <c r="Q282" s="45"/>
      <c r="R282" s="47"/>
      <c r="S282" s="45"/>
      <c r="T282" s="45"/>
      <c r="U282" s="590"/>
      <c r="V282" s="45"/>
      <c r="W282" s="45"/>
      <c r="X282" s="45"/>
      <c r="Y282" s="45"/>
      <c r="Z282" s="45"/>
      <c r="AA282" s="45"/>
      <c r="AB282" s="47"/>
      <c r="AC282" s="47"/>
      <c r="AD282" s="47"/>
      <c r="AE282" s="47"/>
    </row>
    <row r="283" s="119" customFormat="true" ht="11.25" hidden="false" customHeight="true" outlineLevel="0" collapsed="false">
      <c r="A283" s="589"/>
      <c r="B283" s="47"/>
      <c r="C283" s="47"/>
      <c r="K283" s="45"/>
      <c r="L283" s="47"/>
      <c r="M283" s="47"/>
      <c r="N283" s="45"/>
      <c r="O283" s="45"/>
      <c r="P283" s="45"/>
      <c r="Q283" s="45"/>
      <c r="R283" s="47"/>
      <c r="S283" s="45"/>
      <c r="T283" s="45"/>
      <c r="U283" s="590"/>
      <c r="V283" s="45"/>
      <c r="W283" s="45"/>
      <c r="X283" s="45"/>
      <c r="Y283" s="45"/>
      <c r="Z283" s="45"/>
      <c r="AA283" s="45"/>
      <c r="AB283" s="47"/>
      <c r="AC283" s="47"/>
      <c r="AD283" s="47"/>
      <c r="AE283" s="47"/>
    </row>
    <row r="284" s="119" customFormat="true" ht="11.25" hidden="false" customHeight="true" outlineLevel="0" collapsed="false">
      <c r="A284" s="589"/>
      <c r="B284" s="47"/>
      <c r="C284" s="47"/>
      <c r="K284" s="45"/>
      <c r="L284" s="47"/>
      <c r="M284" s="47"/>
      <c r="N284" s="45"/>
      <c r="O284" s="45"/>
      <c r="P284" s="45"/>
      <c r="Q284" s="45"/>
      <c r="R284" s="47"/>
      <c r="S284" s="45"/>
      <c r="T284" s="45"/>
      <c r="U284" s="590"/>
      <c r="V284" s="45"/>
      <c r="W284" s="45"/>
      <c r="X284" s="45"/>
      <c r="Y284" s="45"/>
      <c r="Z284" s="45"/>
      <c r="AA284" s="45"/>
      <c r="AB284" s="47"/>
      <c r="AC284" s="47"/>
      <c r="AD284" s="47"/>
      <c r="AE284" s="47"/>
    </row>
    <row r="285" s="119" customFormat="true" ht="11.25" hidden="false" customHeight="true" outlineLevel="0" collapsed="false">
      <c r="A285" s="589"/>
      <c r="B285" s="47"/>
      <c r="C285" s="47"/>
      <c r="K285" s="45"/>
      <c r="L285" s="47"/>
      <c r="M285" s="47"/>
      <c r="N285" s="45"/>
      <c r="O285" s="45"/>
      <c r="P285" s="45"/>
      <c r="Q285" s="45"/>
      <c r="R285" s="47"/>
      <c r="S285" s="45"/>
      <c r="T285" s="45"/>
      <c r="U285" s="590"/>
      <c r="V285" s="45"/>
      <c r="W285" s="45"/>
      <c r="X285" s="45"/>
      <c r="Y285" s="45"/>
      <c r="Z285" s="45"/>
      <c r="AA285" s="45"/>
      <c r="AB285" s="47"/>
      <c r="AC285" s="47"/>
      <c r="AD285" s="47"/>
      <c r="AE285" s="47"/>
    </row>
    <row r="286" s="119" customFormat="true" ht="11.25" hidden="false" customHeight="true" outlineLevel="0" collapsed="false">
      <c r="A286" s="589"/>
      <c r="B286" s="47"/>
      <c r="C286" s="47"/>
      <c r="K286" s="45"/>
      <c r="L286" s="47"/>
      <c r="M286" s="47"/>
      <c r="N286" s="45"/>
      <c r="O286" s="45"/>
      <c r="P286" s="45"/>
      <c r="Q286" s="45"/>
      <c r="R286" s="47"/>
      <c r="S286" s="45"/>
      <c r="T286" s="45"/>
      <c r="U286" s="590"/>
      <c r="V286" s="45"/>
      <c r="W286" s="45"/>
      <c r="X286" s="45"/>
      <c r="Y286" s="45"/>
      <c r="Z286" s="45"/>
      <c r="AA286" s="45"/>
      <c r="AB286" s="47"/>
      <c r="AC286" s="47"/>
      <c r="AD286" s="47"/>
      <c r="AE286" s="47"/>
    </row>
    <row r="287" s="119" customFormat="true" ht="11.25" hidden="false" customHeight="true" outlineLevel="0" collapsed="false">
      <c r="A287" s="589"/>
      <c r="B287" s="47"/>
      <c r="C287" s="47"/>
      <c r="K287" s="45"/>
      <c r="L287" s="47"/>
      <c r="M287" s="47"/>
      <c r="N287" s="45"/>
      <c r="O287" s="45"/>
      <c r="P287" s="45"/>
      <c r="Q287" s="45"/>
      <c r="R287" s="47"/>
      <c r="S287" s="45"/>
      <c r="T287" s="45"/>
      <c r="U287" s="590"/>
      <c r="V287" s="45"/>
      <c r="W287" s="45"/>
      <c r="X287" s="45"/>
      <c r="Y287" s="45"/>
      <c r="Z287" s="45"/>
      <c r="AA287" s="45"/>
      <c r="AB287" s="47"/>
      <c r="AC287" s="47"/>
      <c r="AD287" s="47"/>
      <c r="AE287" s="47"/>
    </row>
    <row r="288" s="119" customFormat="true" ht="11.25" hidden="false" customHeight="true" outlineLevel="0" collapsed="false">
      <c r="A288" s="589"/>
      <c r="B288" s="47"/>
      <c r="C288" s="47"/>
      <c r="K288" s="45"/>
      <c r="L288" s="47"/>
      <c r="M288" s="47"/>
      <c r="N288" s="45"/>
      <c r="O288" s="45"/>
      <c r="P288" s="45"/>
      <c r="Q288" s="45"/>
      <c r="R288" s="47"/>
      <c r="S288" s="45"/>
      <c r="T288" s="45"/>
      <c r="U288" s="590"/>
      <c r="V288" s="45"/>
      <c r="W288" s="45"/>
      <c r="X288" s="45"/>
      <c r="Y288" s="45"/>
      <c r="Z288" s="45"/>
      <c r="AA288" s="45"/>
      <c r="AB288" s="47"/>
      <c r="AC288" s="47"/>
      <c r="AD288" s="47"/>
      <c r="AE288" s="47"/>
    </row>
    <row r="292" customFormat="false" ht="11.25" hidden="false" customHeight="true" outlineLevel="0" collapsed="false">
      <c r="A292" s="656"/>
      <c r="B292" s="42"/>
      <c r="K292" s="42"/>
      <c r="N292" s="42"/>
      <c r="O292" s="42"/>
      <c r="P292" s="42"/>
      <c r="Q292" s="42"/>
      <c r="S292" s="42"/>
      <c r="T292" s="42"/>
      <c r="U292" s="42"/>
      <c r="V292" s="42"/>
      <c r="W292" s="42"/>
      <c r="X292" s="42"/>
      <c r="Y292" s="42"/>
      <c r="Z292" s="42"/>
      <c r="AA292" s="42"/>
      <c r="AB292" s="42"/>
      <c r="AC292" s="42"/>
      <c r="AD292" s="42"/>
      <c r="AE292" s="42"/>
    </row>
    <row r="293" customFormat="false" ht="11.25" hidden="false" customHeight="true" outlineLevel="0" collapsed="false">
      <c r="A293" s="656"/>
      <c r="B293" s="42"/>
      <c r="K293" s="42"/>
      <c r="N293" s="42"/>
      <c r="O293" s="42"/>
      <c r="P293" s="42"/>
      <c r="Q293" s="42"/>
      <c r="S293" s="42"/>
      <c r="T293" s="42"/>
      <c r="U293" s="42"/>
      <c r="V293" s="42"/>
      <c r="W293" s="42"/>
      <c r="X293" s="42"/>
      <c r="Y293" s="42"/>
      <c r="Z293" s="42"/>
      <c r="AA293" s="42"/>
      <c r="AB293" s="42"/>
      <c r="AC293" s="42"/>
      <c r="AD293" s="42"/>
      <c r="AE293" s="42"/>
    </row>
    <row r="294" customFormat="false" ht="11.25" hidden="false" customHeight="true" outlineLevel="0" collapsed="false">
      <c r="A294" s="656"/>
      <c r="B294" s="42"/>
      <c r="K294" s="42"/>
      <c r="N294" s="42"/>
      <c r="O294" s="42"/>
      <c r="P294" s="42"/>
      <c r="Q294" s="42"/>
      <c r="S294" s="42"/>
      <c r="T294" s="42"/>
      <c r="U294" s="42"/>
      <c r="V294" s="42"/>
      <c r="W294" s="42"/>
      <c r="X294" s="42"/>
      <c r="Y294" s="42"/>
      <c r="Z294" s="42"/>
      <c r="AA294" s="42"/>
      <c r="AB294" s="42"/>
      <c r="AC294" s="42"/>
      <c r="AD294" s="42"/>
      <c r="AE294" s="42"/>
    </row>
    <row r="295" customFormat="false" ht="11.25" hidden="false" customHeight="true" outlineLevel="0" collapsed="false">
      <c r="A295" s="656"/>
      <c r="B295" s="42"/>
      <c r="K295" s="42"/>
      <c r="N295" s="42"/>
      <c r="O295" s="42"/>
      <c r="P295" s="42"/>
      <c r="Q295" s="42"/>
      <c r="S295" s="42"/>
      <c r="T295" s="42"/>
      <c r="U295" s="42"/>
      <c r="V295" s="42"/>
      <c r="W295" s="42"/>
      <c r="X295" s="42"/>
      <c r="Y295" s="42"/>
      <c r="Z295" s="42"/>
      <c r="AA295" s="42"/>
      <c r="AB295" s="42"/>
      <c r="AC295" s="42"/>
      <c r="AD295" s="42"/>
      <c r="AE295" s="42"/>
    </row>
    <row r="296" customFormat="false" ht="11.25" hidden="false" customHeight="true" outlineLevel="0" collapsed="false">
      <c r="A296" s="656"/>
      <c r="B296" s="42"/>
      <c r="K296" s="42"/>
      <c r="N296" s="42"/>
      <c r="O296" s="42"/>
      <c r="P296" s="42"/>
      <c r="Q296" s="42"/>
      <c r="S296" s="42"/>
      <c r="T296" s="42"/>
      <c r="U296" s="42"/>
      <c r="V296" s="42"/>
      <c r="W296" s="42"/>
      <c r="X296" s="42"/>
      <c r="Y296" s="42"/>
      <c r="Z296" s="42"/>
      <c r="AA296" s="42"/>
      <c r="AB296" s="42"/>
      <c r="AC296" s="42"/>
      <c r="AD296" s="42"/>
      <c r="AE296" s="42"/>
    </row>
    <row r="297" customFormat="false" ht="11.25" hidden="false" customHeight="true" outlineLevel="0" collapsed="false">
      <c r="A297" s="656"/>
      <c r="B297" s="42"/>
      <c r="K297" s="42"/>
      <c r="N297" s="42"/>
      <c r="O297" s="42"/>
      <c r="P297" s="42"/>
      <c r="Q297" s="42"/>
      <c r="S297" s="42"/>
      <c r="T297" s="42"/>
      <c r="U297" s="42"/>
      <c r="V297" s="42"/>
      <c r="W297" s="42"/>
      <c r="X297" s="42"/>
      <c r="Y297" s="42"/>
      <c r="Z297" s="42"/>
      <c r="AA297" s="42"/>
      <c r="AB297" s="42"/>
      <c r="AC297" s="42"/>
      <c r="AD297" s="42"/>
      <c r="AE297" s="42"/>
    </row>
    <row r="298" customFormat="false" ht="11.25" hidden="false" customHeight="true" outlineLevel="0" collapsed="false">
      <c r="A298" s="656"/>
      <c r="B298" s="42"/>
      <c r="K298" s="42"/>
      <c r="N298" s="42"/>
      <c r="O298" s="42"/>
      <c r="P298" s="42"/>
      <c r="Q298" s="42"/>
      <c r="S298" s="42"/>
      <c r="T298" s="42"/>
      <c r="U298" s="42"/>
      <c r="V298" s="42"/>
      <c r="W298" s="42"/>
      <c r="X298" s="42"/>
      <c r="Y298" s="42"/>
      <c r="Z298" s="42"/>
      <c r="AA298" s="42"/>
      <c r="AB298" s="42"/>
      <c r="AC298" s="42"/>
      <c r="AD298" s="42"/>
      <c r="AE298" s="42"/>
    </row>
    <row r="299" customFormat="false" ht="11.25" hidden="false" customHeight="true" outlineLevel="0" collapsed="false">
      <c r="A299" s="656"/>
      <c r="B299" s="42"/>
      <c r="K299" s="42"/>
      <c r="N299" s="42"/>
      <c r="O299" s="42"/>
      <c r="P299" s="42"/>
      <c r="Q299" s="42"/>
      <c r="S299" s="42"/>
      <c r="T299" s="42"/>
      <c r="U299" s="42"/>
      <c r="V299" s="42"/>
      <c r="W299" s="42"/>
      <c r="X299" s="42"/>
      <c r="Y299" s="42"/>
      <c r="Z299" s="42"/>
      <c r="AA299" s="42"/>
      <c r="AB299" s="42"/>
      <c r="AC299" s="42"/>
      <c r="AD299" s="42"/>
      <c r="AE299" s="42"/>
    </row>
    <row r="300" customFormat="false" ht="11.25" hidden="false" customHeight="true" outlineLevel="0" collapsed="false">
      <c r="A300" s="656"/>
      <c r="B300" s="42"/>
      <c r="K300" s="42"/>
      <c r="N300" s="42"/>
      <c r="O300" s="42"/>
      <c r="P300" s="42"/>
      <c r="Q300" s="42"/>
      <c r="S300" s="42"/>
      <c r="T300" s="42"/>
      <c r="U300" s="42"/>
      <c r="V300" s="42"/>
      <c r="W300" s="42"/>
      <c r="X300" s="42"/>
      <c r="Y300" s="42"/>
      <c r="Z300" s="42"/>
      <c r="AA300" s="42"/>
      <c r="AB300" s="42"/>
      <c r="AC300" s="42"/>
      <c r="AD300" s="42"/>
      <c r="AE300" s="42"/>
    </row>
    <row r="301" customFormat="false" ht="11.25" hidden="false" customHeight="true" outlineLevel="0" collapsed="false">
      <c r="A301" s="656"/>
      <c r="B301" s="42"/>
      <c r="K301" s="42"/>
      <c r="N301" s="42"/>
      <c r="O301" s="42"/>
      <c r="P301" s="42"/>
      <c r="Q301" s="42"/>
      <c r="S301" s="42"/>
      <c r="T301" s="42"/>
      <c r="U301" s="42"/>
      <c r="V301" s="42"/>
      <c r="W301" s="42"/>
      <c r="X301" s="42"/>
      <c r="Y301" s="42"/>
      <c r="Z301" s="42"/>
      <c r="AA301" s="42"/>
      <c r="AB301" s="42"/>
      <c r="AC301" s="42"/>
      <c r="AD301" s="42"/>
      <c r="AE301" s="42"/>
    </row>
    <row r="302" customFormat="false" ht="11.25" hidden="false" customHeight="true" outlineLevel="0" collapsed="false">
      <c r="A302" s="656"/>
      <c r="B302" s="42"/>
      <c r="K302" s="42"/>
      <c r="N302" s="42"/>
      <c r="O302" s="42"/>
      <c r="P302" s="42"/>
      <c r="Q302" s="42"/>
      <c r="S302" s="42"/>
      <c r="T302" s="42"/>
      <c r="U302" s="42"/>
      <c r="V302" s="42"/>
      <c r="W302" s="42"/>
      <c r="X302" s="42"/>
      <c r="Y302" s="42"/>
      <c r="Z302" s="42"/>
      <c r="AA302" s="42"/>
      <c r="AB302" s="42"/>
      <c r="AC302" s="42"/>
      <c r="AD302" s="42"/>
      <c r="AE302" s="42"/>
    </row>
  </sheetData>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I66 H68:I68" type="none">
      <formula1>0</formula1>
      <formula2>0</formula2>
    </dataValidation>
    <dataValidation allowBlank="true" error="Введите значение от 0 до 100%" errorStyle="stop" errorTitle="Ошибка" operator="between" showDropDown="false" showErrorMessage="true" showInputMessage="false" sqref="H90:I90 H95:I95" type="decimal">
      <formula1>0</formula1>
      <formula2>100</formula2>
    </dataValidation>
    <dataValidation allowBlank="true" error="Допускается ввод только действительных чисел!" errorStyle="stop" errorTitle="Ошибка" operator="between" showDropDown="false" showErrorMessage="true" showInputMessage="false" sqref="H75:I80 H120:I120 H123:I123 H126:I126"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72:I73" type="decimal">
      <formula1>-9.99999999999999E+023</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81:I81 H128:I13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I6 H9:I13 H15:I15 H17:I17 H30:I30 H32:I33 H35:I38 H40:I65 H67:I67 H69:I69 H74:I74 H82:I86 H88:I89 H91:I94 H96:I119 H127:I127" type="decimal">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G4 H34:I34 H39:I39"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I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I7" type="list">
      <formula1>kind_of_purchase_method</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E2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true" outlineLevel="0" max="1" min="1" style="657" width="14.71"/>
    <col collapsed="false" customWidth="true" hidden="true" outlineLevel="0" max="2" min="2" style="45" width="17"/>
    <col collapsed="false" customWidth="true" hidden="false" outlineLevel="0" max="3" min="3" style="42" width="3.71"/>
    <col collapsed="false" customWidth="true" hidden="true" outlineLevel="0" max="4" min="4" style="42" width="1.85"/>
    <col collapsed="false" customWidth="true" hidden="false" outlineLevel="0" max="6" min="5" style="42" width="7.71"/>
    <col collapsed="false" customWidth="true" hidden="false" outlineLevel="0" max="7" min="7" style="42" width="29.71"/>
    <col collapsed="false" customWidth="true" hidden="false" outlineLevel="0" max="8" min="8" style="42" width="3.71"/>
    <col collapsed="false" customWidth="true" hidden="false" outlineLevel="0" max="9" min="9" style="42" width="5.42"/>
    <col collapsed="false" customWidth="true" hidden="false" outlineLevel="0" max="10" min="10" style="42" width="24.57"/>
    <col collapsed="false" customWidth="true" hidden="false" outlineLevel="0" max="11" min="11" style="42" width="24.42"/>
    <col collapsed="false" customWidth="true" hidden="false" outlineLevel="0" max="12" min="12" style="42" width="3.71"/>
    <col collapsed="false" customWidth="true" hidden="false" outlineLevel="0" max="13" min="13" style="42" width="6.28"/>
    <col collapsed="false" customWidth="true" hidden="false" outlineLevel="0" max="14" min="14" style="42" width="25.85"/>
    <col collapsed="false" customWidth="true" hidden="false" outlineLevel="0" max="18" min="15" style="42" width="18.71"/>
    <col collapsed="false" customWidth="true" hidden="false" outlineLevel="0" max="19" min="19" style="42" width="93.42"/>
    <col collapsed="false" customWidth="true" hidden="false" outlineLevel="0" max="20" min="20" style="42" width="10.57"/>
    <col collapsed="false" customWidth="true" hidden="false" outlineLevel="0" max="21" min="21" style="47" width="10.57"/>
    <col collapsed="false" customWidth="true" hidden="false" outlineLevel="0" max="22" min="22" style="47" width="11.71"/>
    <col collapsed="false" customWidth="true" hidden="false" outlineLevel="0" max="27" min="23" style="45" width="10.57"/>
    <col collapsed="false" customWidth="false" hidden="false" outlineLevel="0" max="83" min="28" style="42" width="9.14"/>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c r="K4" s="127"/>
      <c r="L4" s="127"/>
      <c r="M4" s="127"/>
    </row>
    <row r="5" customFormat="false" ht="28.5" hidden="false" customHeight="true" outlineLevel="0" collapsed="false">
      <c r="D5" s="658"/>
      <c r="E5" s="212" t="str">
        <f aca="false">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2"/>
      <c r="G5" s="212"/>
      <c r="H5" s="212"/>
      <c r="I5" s="212"/>
      <c r="J5" s="212"/>
      <c r="K5" s="212"/>
      <c r="L5" s="43"/>
      <c r="M5" s="43"/>
    </row>
    <row r="6" s="42" customFormat="true" ht="16.5" hidden="false" customHeight="true" outlineLevel="0" collapsed="false">
      <c r="A6" s="657"/>
      <c r="B6" s="45"/>
      <c r="D6" s="659"/>
      <c r="E6" s="265" t="str">
        <f aca="false">IF(org=0,"Не определено",org)</f>
        <v>ООО "Газпром теплоэнерго Ярославль"</v>
      </c>
      <c r="F6" s="265"/>
      <c r="G6" s="265"/>
      <c r="H6" s="265"/>
      <c r="I6" s="265"/>
      <c r="J6" s="265"/>
      <c r="K6" s="265"/>
      <c r="L6" s="43"/>
      <c r="M6" s="43"/>
      <c r="U6" s="47"/>
      <c r="V6" s="47"/>
      <c r="W6" s="45"/>
      <c r="X6" s="45"/>
      <c r="Y6" s="45"/>
      <c r="Z6" s="45"/>
      <c r="AA6" s="45"/>
    </row>
    <row r="7" customFormat="false" ht="11.25" hidden="false" customHeight="true" outlineLevel="0" collapsed="false">
      <c r="G7" s="43"/>
      <c r="H7" s="43"/>
      <c r="I7" s="43"/>
      <c r="J7" s="43"/>
      <c r="K7" s="660"/>
      <c r="L7" s="660"/>
      <c r="M7" s="660"/>
      <c r="R7" s="296"/>
    </row>
    <row r="8" s="119" customFormat="true" ht="5.25" hidden="false" customHeight="true" outlineLevel="0" collapsed="false">
      <c r="A8" s="459"/>
      <c r="B8" s="47"/>
      <c r="G8" s="661"/>
      <c r="H8" s="661"/>
      <c r="I8" s="661"/>
      <c r="J8" s="661"/>
      <c r="K8" s="662"/>
      <c r="L8" s="662"/>
      <c r="M8" s="662"/>
      <c r="R8" s="663"/>
      <c r="U8" s="47"/>
      <c r="V8" s="47"/>
      <c r="W8" s="47"/>
      <c r="X8" s="47"/>
      <c r="Y8" s="47"/>
      <c r="Z8" s="47"/>
      <c r="AA8" s="47"/>
    </row>
    <row r="9" customFormat="false" ht="18.75" hidden="false" customHeight="true" outlineLevel="0" collapsed="false">
      <c r="D9" s="420"/>
      <c r="E9" s="133" t="s">
        <v>316</v>
      </c>
      <c r="F9" s="133"/>
      <c r="G9" s="133"/>
      <c r="H9" s="133"/>
      <c r="I9" s="133"/>
      <c r="J9" s="133"/>
      <c r="K9" s="133"/>
      <c r="L9" s="133"/>
      <c r="M9" s="133"/>
      <c r="N9" s="133"/>
      <c r="O9" s="133"/>
      <c r="P9" s="133"/>
      <c r="Q9" s="133"/>
      <c r="R9" s="133"/>
      <c r="S9" s="133" t="s">
        <v>317</v>
      </c>
      <c r="T9" s="664"/>
    </row>
    <row r="10" customFormat="false" ht="33.75" hidden="false" customHeight="true" outlineLevel="0" collapsed="false">
      <c r="D10" s="146" t="s">
        <v>84</v>
      </c>
      <c r="E10" s="133" t="s">
        <v>84</v>
      </c>
      <c r="F10" s="133"/>
      <c r="G10" s="145" t="s">
        <v>318</v>
      </c>
      <c r="H10" s="133" t="s">
        <v>84</v>
      </c>
      <c r="I10" s="133"/>
      <c r="J10" s="145" t="s">
        <v>623</v>
      </c>
      <c r="K10" s="145" t="s">
        <v>624</v>
      </c>
      <c r="L10" s="133" t="s">
        <v>84</v>
      </c>
      <c r="M10" s="133"/>
      <c r="N10" s="145" t="s">
        <v>625</v>
      </c>
      <c r="O10" s="145" t="s">
        <v>626</v>
      </c>
      <c r="P10" s="145" t="s">
        <v>627</v>
      </c>
      <c r="Q10" s="145" t="s">
        <v>628</v>
      </c>
      <c r="R10" s="145" t="s">
        <v>629</v>
      </c>
      <c r="S10" s="133"/>
      <c r="T10" s="664"/>
    </row>
    <row r="11" s="47" customFormat="true" ht="15" hidden="true" customHeight="true" outlineLevel="0" collapsed="false">
      <c r="A11" s="459"/>
      <c r="D11" s="459" t="s">
        <v>117</v>
      </c>
      <c r="E11" s="459"/>
      <c r="F11" s="459" t="s">
        <v>99</v>
      </c>
      <c r="G11" s="459" t="s">
        <v>86</v>
      </c>
      <c r="H11" s="459"/>
      <c r="I11" s="459" t="s">
        <v>87</v>
      </c>
      <c r="J11" s="459" t="s">
        <v>118</v>
      </c>
      <c r="K11" s="459" t="s">
        <v>88</v>
      </c>
      <c r="L11" s="459"/>
      <c r="M11" s="459" t="s">
        <v>89</v>
      </c>
      <c r="N11" s="459" t="s">
        <v>119</v>
      </c>
      <c r="O11" s="459" t="s">
        <v>155</v>
      </c>
      <c r="P11" s="459" t="s">
        <v>156</v>
      </c>
      <c r="Q11" s="459" t="s">
        <v>157</v>
      </c>
      <c r="R11" s="459" t="s">
        <v>158</v>
      </c>
      <c r="S11" s="459" t="s">
        <v>159</v>
      </c>
    </row>
    <row r="12" s="42" customFormat="true" ht="0.75" hidden="false" customHeight="true" outlineLevel="0" collapsed="false">
      <c r="A12" s="657"/>
      <c r="B12" s="45"/>
      <c r="D12" s="459"/>
      <c r="E12" s="113"/>
      <c r="F12" s="113"/>
      <c r="Q12" s="130"/>
      <c r="R12" s="665"/>
      <c r="T12" s="664"/>
      <c r="U12" s="47"/>
      <c r="V12" s="47"/>
      <c r="W12" s="45"/>
      <c r="X12" s="45"/>
      <c r="Y12" s="45"/>
      <c r="Z12" s="45"/>
      <c r="AA12" s="45"/>
    </row>
    <row r="13" s="119" customFormat="true" ht="0.75" hidden="false" customHeight="true" outlineLevel="0" collapsed="false">
      <c r="A13" s="459"/>
      <c r="B13" s="47"/>
      <c r="D13" s="459" t="s">
        <v>392</v>
      </c>
      <c r="E13" s="614"/>
      <c r="F13" s="614"/>
      <c r="G13" s="614"/>
      <c r="H13" s="614"/>
      <c r="I13" s="614"/>
      <c r="J13" s="614"/>
      <c r="K13" s="614"/>
      <c r="L13" s="614"/>
      <c r="M13" s="614"/>
      <c r="N13" s="614"/>
      <c r="O13" s="614"/>
      <c r="P13" s="614"/>
      <c r="Q13" s="614"/>
      <c r="R13" s="614"/>
      <c r="T13" s="664"/>
      <c r="U13" s="47"/>
      <c r="V13" s="47"/>
      <c r="W13" s="47"/>
      <c r="X13" s="47"/>
      <c r="Y13" s="47"/>
      <c r="Z13" s="47"/>
      <c r="AA13" s="47"/>
    </row>
    <row r="14" s="53" customFormat="true" ht="15" hidden="true" customHeight="true" outlineLevel="0" collapsed="false">
      <c r="A14" s="666" t="s">
        <v>124</v>
      </c>
      <c r="D14" s="248" t="s">
        <v>117</v>
      </c>
      <c r="E14" s="667" t="s">
        <v>113</v>
      </c>
      <c r="F14" s="667"/>
      <c r="G14" s="667"/>
      <c r="H14" s="668" t="n">
        <f aca="false">IF(A14="","",INDEX(DIFFERENTIATION_UNMERGE_VD,MATCH(A14,DIFFERENTIATION_ID_DIFF,0)))</f>
        <v>0</v>
      </c>
      <c r="I14" s="668"/>
      <c r="J14" s="668"/>
      <c r="K14" s="668"/>
      <c r="L14" s="668"/>
      <c r="M14" s="668"/>
      <c r="N14" s="668"/>
      <c r="O14" s="668"/>
      <c r="P14" s="668"/>
      <c r="Q14" s="668"/>
      <c r="R14" s="668"/>
      <c r="S14" s="669"/>
      <c r="T14" s="670"/>
      <c r="U14" s="155"/>
      <c r="V14" s="155"/>
      <c r="W14" s="54"/>
      <c r="X14" s="54"/>
      <c r="Y14" s="54"/>
      <c r="Z14" s="54"/>
      <c r="AA14" s="155"/>
      <c r="AB14" s="54"/>
      <c r="AC14" s="671"/>
      <c r="AD14" s="54"/>
      <c r="AE14" s="672"/>
      <c r="AF14" s="672"/>
      <c r="AG14" s="673" t="s">
        <v>630</v>
      </c>
      <c r="AH14" s="674" t="n">
        <v>3</v>
      </c>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c r="BT14" s="155"/>
      <c r="BU14" s="155"/>
      <c r="BV14" s="54"/>
      <c r="BW14" s="54"/>
      <c r="BX14" s="54"/>
      <c r="BY14" s="54"/>
      <c r="BZ14" s="54"/>
      <c r="CA14" s="54"/>
      <c r="CB14" s="54"/>
      <c r="CC14" s="54"/>
      <c r="CD14" s="54"/>
      <c r="CE14" s="54"/>
    </row>
    <row r="15" s="53" customFormat="true" ht="15" hidden="true" customHeight="true" outlineLevel="0" collapsed="false">
      <c r="A15" s="666"/>
      <c r="D15" s="248"/>
      <c r="E15" s="667" t="s">
        <v>585</v>
      </c>
      <c r="F15" s="667"/>
      <c r="G15" s="667"/>
      <c r="H15" s="668" t="str">
        <f aca="false">IF(A14="","",INDEX(DIFFERENTIATION_UNMERGE_AREA,MATCH(A14,DIFFERENTIATION_ID_DIFF,0)))</f>
        <v/>
      </c>
      <c r="I15" s="668"/>
      <c r="J15" s="668"/>
      <c r="K15" s="668"/>
      <c r="L15" s="668"/>
      <c r="M15" s="668"/>
      <c r="N15" s="668"/>
      <c r="O15" s="668"/>
      <c r="P15" s="668"/>
      <c r="Q15" s="668"/>
      <c r="R15" s="668"/>
      <c r="S15" s="669"/>
      <c r="T15" s="670"/>
      <c r="U15" s="155"/>
      <c r="V15" s="155"/>
      <c r="W15" s="54"/>
      <c r="X15" s="54"/>
      <c r="Y15" s="54"/>
      <c r="Z15" s="54"/>
      <c r="AA15" s="155"/>
      <c r="AB15" s="54"/>
      <c r="AC15" s="671"/>
      <c r="AD15" s="54"/>
      <c r="AE15" s="672"/>
      <c r="AF15" s="672"/>
      <c r="AG15" s="673"/>
      <c r="AH15" s="674"/>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5"/>
      <c r="BT15" s="155"/>
      <c r="BU15" s="155"/>
      <c r="BV15" s="54"/>
      <c r="BW15" s="54"/>
      <c r="BX15" s="54"/>
      <c r="BY15" s="54"/>
      <c r="BZ15" s="54"/>
      <c r="CA15" s="54"/>
      <c r="CB15" s="54"/>
      <c r="CC15" s="54"/>
      <c r="CD15" s="54"/>
      <c r="CE15" s="54"/>
    </row>
    <row r="16" s="53" customFormat="true" ht="15" hidden="true" customHeight="true" outlineLevel="0" collapsed="false">
      <c r="A16" s="666"/>
      <c r="D16" s="248"/>
      <c r="E16" s="667" t="s">
        <v>586</v>
      </c>
      <c r="F16" s="667"/>
      <c r="G16" s="667"/>
      <c r="H16" s="668" t="str">
        <f aca="false">IF(A14="","",INDEX(DIFFERENTIATION_UNMERGE_SYSTEM,MATCH(A14,DIFFERENTIATION_ID_DIFF,0)))</f>
        <v>без дифференциации</v>
      </c>
      <c r="I16" s="668"/>
      <c r="J16" s="668"/>
      <c r="K16" s="668"/>
      <c r="L16" s="668"/>
      <c r="M16" s="668"/>
      <c r="N16" s="668"/>
      <c r="O16" s="668"/>
      <c r="P16" s="668"/>
      <c r="Q16" s="668"/>
      <c r="R16" s="668"/>
      <c r="S16" s="669"/>
      <c r="T16" s="670"/>
      <c r="U16" s="155"/>
      <c r="V16" s="155"/>
      <c r="W16" s="54"/>
      <c r="X16" s="54"/>
      <c r="Y16" s="54"/>
      <c r="Z16" s="54"/>
      <c r="AA16" s="155"/>
      <c r="AB16" s="54"/>
      <c r="AC16" s="671"/>
      <c r="AD16" s="54"/>
      <c r="AE16" s="672"/>
      <c r="AF16" s="672"/>
      <c r="AG16" s="673"/>
      <c r="AH16" s="674"/>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54"/>
      <c r="BW16" s="54"/>
      <c r="BX16" s="54"/>
      <c r="BY16" s="54"/>
      <c r="BZ16" s="54"/>
      <c r="CA16" s="54"/>
      <c r="CB16" s="54"/>
      <c r="CC16" s="54"/>
      <c r="CD16" s="54"/>
      <c r="CE16" s="54"/>
    </row>
    <row r="17" s="53" customFormat="true" ht="22.5" hidden="true" customHeight="true" outlineLevel="0" collapsed="false">
      <c r="A17" s="44"/>
      <c r="B17" s="45"/>
      <c r="C17" s="156"/>
      <c r="D17" s="248"/>
      <c r="E17" s="675" t="s">
        <v>631</v>
      </c>
      <c r="F17" s="675"/>
      <c r="G17" s="675"/>
      <c r="H17" s="675"/>
      <c r="I17" s="675"/>
      <c r="J17" s="675"/>
      <c r="K17" s="675"/>
      <c r="L17" s="675"/>
      <c r="M17" s="675"/>
      <c r="N17" s="675"/>
      <c r="O17" s="675"/>
      <c r="P17" s="675"/>
      <c r="Q17" s="611" t="n">
        <f aca="false">SUMIF(T18:T19,"i",Q18:Q19)</f>
        <v>0</v>
      </c>
      <c r="R17" s="676"/>
      <c r="S17" s="609" t="s">
        <v>632</v>
      </c>
      <c r="T17" s="670" t="s">
        <v>633</v>
      </c>
      <c r="U17" s="120" t="n">
        <v>1</v>
      </c>
      <c r="V17" s="120" t="str">
        <f aca="false">INDEX(B_FHD_FLAG_INDEX_1,1,MATCH(A14,B_FHD_FLAG_DIFFERENTIATION,0))</f>
        <v>отсутствует</v>
      </c>
      <c r="W17" s="45"/>
      <c r="X17" s="45"/>
      <c r="Y17" s="45"/>
      <c r="Z17" s="45"/>
      <c r="AA17" s="47"/>
      <c r="AB17" s="45"/>
      <c r="AC17" s="671"/>
      <c r="AD17" s="54"/>
      <c r="AE17" s="45"/>
      <c r="AF17" s="45"/>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5"/>
      <c r="BW17" s="45"/>
      <c r="BX17" s="45"/>
      <c r="BY17" s="45"/>
      <c r="BZ17" s="45"/>
      <c r="CA17" s="45"/>
      <c r="CB17" s="45"/>
      <c r="CC17" s="45"/>
      <c r="CD17" s="45"/>
      <c r="CE17" s="45"/>
    </row>
    <row r="18" s="53" customFormat="true" ht="11.25" hidden="true" customHeight="true" outlineLevel="0" collapsed="false">
      <c r="A18" s="120"/>
      <c r="B18" s="47"/>
      <c r="C18" s="47"/>
      <c r="D18" s="248"/>
      <c r="E18" s="305"/>
      <c r="F18" s="305" t="n">
        <v>0</v>
      </c>
      <c r="G18" s="305"/>
      <c r="H18" s="305"/>
      <c r="I18" s="305"/>
      <c r="J18" s="305"/>
      <c r="K18" s="305"/>
      <c r="L18" s="305"/>
      <c r="M18" s="305"/>
      <c r="N18" s="305"/>
      <c r="O18" s="305"/>
      <c r="P18" s="305"/>
      <c r="Q18" s="305"/>
      <c r="R18" s="305"/>
      <c r="S18" s="304"/>
      <c r="T18" s="677"/>
      <c r="U18" s="120"/>
      <c r="V18" s="120"/>
      <c r="W18" s="47"/>
      <c r="X18" s="47"/>
      <c r="Y18" s="47"/>
      <c r="Z18" s="47"/>
      <c r="AA18" s="47"/>
      <c r="AB18" s="45"/>
      <c r="AC18" s="671"/>
      <c r="AD18" s="54"/>
      <c r="AE18" s="45"/>
      <c r="AF18" s="45"/>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row>
    <row r="19" s="53" customFormat="true" ht="11.25" hidden="true" customHeight="true" outlineLevel="0" collapsed="false">
      <c r="A19" s="44"/>
      <c r="B19" s="45"/>
      <c r="C19" s="156"/>
      <c r="D19" s="248"/>
      <c r="E19" s="532"/>
      <c r="F19" s="160"/>
      <c r="G19" s="160"/>
      <c r="H19" s="167"/>
      <c r="I19" s="167"/>
      <c r="J19" s="167"/>
      <c r="K19" s="167"/>
      <c r="L19" s="167"/>
      <c r="M19" s="167"/>
      <c r="N19" s="167"/>
      <c r="O19" s="167"/>
      <c r="P19" s="167"/>
      <c r="Q19" s="167"/>
      <c r="R19" s="206"/>
      <c r="S19" s="675"/>
      <c r="T19" s="677"/>
      <c r="U19" s="120"/>
      <c r="V19" s="120"/>
      <c r="W19" s="45"/>
      <c r="X19" s="45"/>
      <c r="Y19" s="45"/>
      <c r="Z19" s="45"/>
      <c r="AA19" s="47"/>
      <c r="AB19" s="45"/>
      <c r="AC19" s="671"/>
      <c r="AD19" s="54"/>
      <c r="AE19" s="45"/>
      <c r="AF19" s="45"/>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5"/>
      <c r="BW19" s="45"/>
      <c r="BX19" s="45"/>
      <c r="BY19" s="45"/>
      <c r="BZ19" s="45"/>
      <c r="CA19" s="45"/>
      <c r="CB19" s="45"/>
      <c r="CC19" s="45"/>
      <c r="CD19" s="45"/>
      <c r="CE19" s="45"/>
    </row>
    <row r="20" s="53" customFormat="true" ht="22.5" hidden="true" customHeight="true" outlineLevel="0" collapsed="false">
      <c r="A20" s="44"/>
      <c r="B20" s="45"/>
      <c r="C20" s="156"/>
      <c r="D20" s="248"/>
      <c r="E20" s="675" t="s">
        <v>634</v>
      </c>
      <c r="F20" s="675"/>
      <c r="G20" s="675"/>
      <c r="H20" s="675"/>
      <c r="I20" s="675"/>
      <c r="J20" s="675"/>
      <c r="K20" s="675"/>
      <c r="L20" s="675"/>
      <c r="M20" s="675"/>
      <c r="N20" s="675"/>
      <c r="O20" s="675"/>
      <c r="P20" s="675"/>
      <c r="Q20" s="611" t="n">
        <f aca="false">SUMIF(T21:T22,"i",Q21:Q22)</f>
        <v>0</v>
      </c>
      <c r="R20" s="676"/>
      <c r="S20" s="609" t="s">
        <v>635</v>
      </c>
      <c r="T20" s="670" t="s">
        <v>633</v>
      </c>
      <c r="U20" s="120" t="n">
        <v>2</v>
      </c>
      <c r="V20" s="120" t="str">
        <f aca="false">INDEX(B_FHD_FLAG_INDEX_2,1,MATCH(A14,B_FHD_FLAG_DIFFERENTIATION,0))</f>
        <v>отсутствует</v>
      </c>
      <c r="W20" s="45"/>
      <c r="X20" s="45"/>
      <c r="Y20" s="45"/>
      <c r="Z20" s="45"/>
      <c r="AA20" s="47"/>
      <c r="AB20" s="45"/>
      <c r="AC20" s="671"/>
      <c r="AD20" s="54"/>
      <c r="AE20" s="45"/>
      <c r="AF20" s="45"/>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5"/>
      <c r="BW20" s="45"/>
      <c r="BX20" s="45"/>
      <c r="BY20" s="45"/>
      <c r="BZ20" s="45"/>
      <c r="CA20" s="45"/>
      <c r="CB20" s="45"/>
      <c r="CC20" s="45"/>
      <c r="CD20" s="45"/>
      <c r="CE20" s="45"/>
    </row>
    <row r="21" s="53" customFormat="true" ht="11.25" hidden="true" customHeight="true" outlineLevel="0" collapsed="false">
      <c r="A21" s="120"/>
      <c r="B21" s="47"/>
      <c r="C21" s="47"/>
      <c r="D21" s="248"/>
      <c r="E21" s="305"/>
      <c r="F21" s="305" t="n">
        <v>0</v>
      </c>
      <c r="G21" s="305"/>
      <c r="H21" s="305"/>
      <c r="I21" s="305"/>
      <c r="J21" s="305"/>
      <c r="K21" s="305"/>
      <c r="L21" s="305"/>
      <c r="M21" s="305"/>
      <c r="N21" s="305"/>
      <c r="O21" s="305"/>
      <c r="P21" s="305"/>
      <c r="Q21" s="305"/>
      <c r="R21" s="305"/>
      <c r="S21" s="304"/>
      <c r="T21" s="677"/>
      <c r="U21" s="120"/>
      <c r="V21" s="120"/>
      <c r="W21" s="47"/>
      <c r="X21" s="47"/>
      <c r="Y21" s="47"/>
      <c r="Z21" s="47"/>
      <c r="AA21" s="47"/>
      <c r="AB21" s="45"/>
      <c r="AC21" s="671"/>
      <c r="AD21" s="54"/>
      <c r="AE21" s="45"/>
      <c r="AF21" s="45"/>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row>
    <row r="22" s="53" customFormat="true" ht="11.25" hidden="true" customHeight="true" outlineLevel="0" collapsed="false">
      <c r="A22" s="44"/>
      <c r="B22" s="45"/>
      <c r="C22" s="156"/>
      <c r="D22" s="248"/>
      <c r="E22" s="532"/>
      <c r="F22" s="160"/>
      <c r="G22" s="160"/>
      <c r="H22" s="167"/>
      <c r="I22" s="167"/>
      <c r="J22" s="167"/>
      <c r="K22" s="167"/>
      <c r="L22" s="167"/>
      <c r="M22" s="167"/>
      <c r="N22" s="167"/>
      <c r="O22" s="167"/>
      <c r="P22" s="167"/>
      <c r="Q22" s="167"/>
      <c r="R22" s="206"/>
      <c r="S22" s="675"/>
      <c r="T22" s="677"/>
      <c r="U22" s="120"/>
      <c r="V22" s="120"/>
      <c r="W22" s="45"/>
      <c r="X22" s="45"/>
      <c r="Y22" s="45"/>
      <c r="Z22" s="45"/>
      <c r="AA22" s="47"/>
      <c r="AB22" s="45"/>
      <c r="AC22" s="671"/>
      <c r="AD22" s="54"/>
      <c r="AE22" s="45"/>
      <c r="AF22" s="45"/>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5"/>
      <c r="BW22" s="45"/>
      <c r="BX22" s="45"/>
      <c r="BY22" s="45"/>
      <c r="BZ22" s="45"/>
      <c r="CA22" s="45"/>
      <c r="CB22" s="45"/>
      <c r="CC22" s="45"/>
      <c r="CD22" s="45"/>
      <c r="CE22" s="45"/>
    </row>
    <row r="23" customFormat="false" ht="18.75" hidden="false" customHeight="true" outlineLevel="0" collapsed="false">
      <c r="D23" s="678"/>
      <c r="E23" s="678"/>
      <c r="F23" s="678"/>
      <c r="G23" s="678"/>
      <c r="H23" s="678"/>
      <c r="I23" s="678"/>
      <c r="J23" s="678"/>
      <c r="K23" s="678"/>
      <c r="L23" s="678"/>
      <c r="M23" s="678"/>
      <c r="N23" s="678"/>
      <c r="O23" s="678"/>
      <c r="P23" s="678"/>
      <c r="Q23" s="678"/>
      <c r="R23" s="678"/>
      <c r="S23" s="678"/>
      <c r="T23" s="664"/>
    </row>
    <row r="25" customFormat="false" ht="11.25" hidden="false" customHeight="true" outlineLevel="0" collapsed="false">
      <c r="D25" s="127"/>
      <c r="E25" s="127"/>
      <c r="F25" s="127"/>
      <c r="G25" s="174"/>
    </row>
    <row r="27" customFormat="false" ht="11.25" hidden="false" customHeight="true" outlineLevel="0" collapsed="false">
      <c r="D27" s="345"/>
      <c r="E27" s="679"/>
      <c r="F27" s="679"/>
      <c r="G27" s="679"/>
      <c r="H27" s="679"/>
      <c r="I27" s="679"/>
      <c r="J27" s="679"/>
      <c r="K27" s="679"/>
      <c r="L27" s="679"/>
      <c r="M27" s="679"/>
      <c r="N27" s="679"/>
      <c r="O27" s="679"/>
      <c r="P27" s="679"/>
      <c r="Q27" s="679"/>
      <c r="R27" s="679"/>
    </row>
  </sheetData>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true" outlineLevel="0" max="1" min="1" style="589" width="10.71"/>
    <col collapsed="false" customWidth="true" hidden="true" outlineLevel="0" max="2" min="2" style="45" width="16.85"/>
    <col collapsed="false" customWidth="true" hidden="true" outlineLevel="0" max="3" min="3" style="47" width="5.57"/>
    <col collapsed="false" customWidth="true" hidden="false" outlineLevel="0" max="4" min="4" style="42" width="3.71"/>
    <col collapsed="false" customWidth="true" hidden="false" outlineLevel="0" max="5" min="5" style="42" width="7.71"/>
    <col collapsed="false" customWidth="true" hidden="false" outlineLevel="0" max="6" min="6" style="42" width="56.14"/>
    <col collapsed="false" customWidth="true" hidden="false" outlineLevel="0" max="7" min="7" style="42" width="10.42"/>
    <col collapsed="false" customWidth="true" hidden="true" outlineLevel="0" max="8" min="8" style="42" width="40.71"/>
    <col collapsed="false" customWidth="true" hidden="false" outlineLevel="0" max="9" min="9" style="42" width="40.71"/>
    <col collapsed="false" customWidth="true" hidden="false" outlineLevel="0" max="10" min="10" style="42" width="102.85"/>
    <col collapsed="false" customWidth="true" hidden="false" outlineLevel="0" max="11" min="11" style="45" width="9.71"/>
    <col collapsed="false" customWidth="true" hidden="false" outlineLevel="0" max="12" min="12" style="47" width="5.28"/>
    <col collapsed="false" customWidth="true" hidden="false" outlineLevel="0" max="13" min="13" style="47" width="3.71"/>
    <col collapsed="false" customWidth="true" hidden="false" outlineLevel="0" max="17" min="14" style="45" width="3.71"/>
    <col collapsed="false" customWidth="true" hidden="false" outlineLevel="0" max="18" min="18" style="47" width="10.57"/>
    <col collapsed="false" customWidth="true" hidden="false" outlineLevel="0" max="19" min="19" style="45" width="34.71"/>
    <col collapsed="false" customWidth="true" hidden="false" outlineLevel="0" max="20" min="20" style="45" width="9.42"/>
    <col collapsed="false" customWidth="false" hidden="false" outlineLevel="0" max="21" min="21" style="590" width="9.14"/>
    <col collapsed="false" customWidth="false" hidden="false" outlineLevel="0" max="31" min="22" style="45" width="9.14"/>
  </cols>
  <sheetData>
    <row r="1" s="45" customFormat="true" ht="11.25" hidden="true" customHeight="true" outlineLevel="0" collapsed="false">
      <c r="A1" s="589"/>
      <c r="C1" s="47"/>
      <c r="H1" s="45" t="n">
        <v>4</v>
      </c>
      <c r="I1" s="45" t="n">
        <v>4</v>
      </c>
      <c r="L1" s="47"/>
      <c r="M1" s="47"/>
      <c r="R1" s="47"/>
    </row>
    <row r="2" s="45" customFormat="true" ht="22.5" hidden="true" customHeight="true" outlineLevel="0" collapsed="false">
      <c r="A2" s="589"/>
      <c r="C2" s="47"/>
      <c r="D2" s="598"/>
      <c r="E2" s="145"/>
      <c r="F2" s="147"/>
      <c r="G2" s="145" t="s">
        <v>573</v>
      </c>
      <c r="H2" s="438"/>
      <c r="I2" s="438"/>
      <c r="J2" s="599" t="s">
        <v>636</v>
      </c>
      <c r="K2" s="593"/>
      <c r="L2" s="47"/>
      <c r="M2" s="47"/>
      <c r="R2" s="47"/>
      <c r="U2" s="590"/>
    </row>
    <row r="3" customFormat="false" ht="11.25" hidden="true" customHeight="true" outlineLevel="0" collapsed="false"/>
    <row r="4" s="45" customFormat="true" ht="11.25" hidden="true" customHeight="true" outlineLevel="0" collapsed="false">
      <c r="A4" s="589"/>
      <c r="C4" s="47"/>
      <c r="J4" s="45" t="n">
        <v>4</v>
      </c>
      <c r="L4" s="47"/>
      <c r="M4" s="47"/>
      <c r="R4" s="47"/>
      <c r="U4" s="590"/>
    </row>
    <row r="6" customFormat="false" ht="22.5" hidden="false" customHeight="true" outlineLevel="0" collapsed="false">
      <c r="E6" s="260" t="s">
        <v>637</v>
      </c>
      <c r="F6" s="260"/>
      <c r="G6" s="260"/>
      <c r="H6" s="260"/>
      <c r="I6" s="260"/>
      <c r="J6" s="214"/>
    </row>
    <row r="7" customFormat="false" ht="24" hidden="false" customHeight="true" outlineLevel="0" collapsed="false">
      <c r="E7" s="265" t="str">
        <f aca="false">IF(org=0,"Не определено",org)</f>
        <v>ООО "Газпром теплоэнерго Ярославль"</v>
      </c>
      <c r="F7" s="265"/>
      <c r="G7" s="265"/>
      <c r="H7" s="265"/>
      <c r="I7" s="265"/>
    </row>
    <row r="8" customFormat="false" ht="11.25" hidden="false" customHeight="true" outlineLevel="0" collapsed="false">
      <c r="E8" s="602"/>
      <c r="F8" s="602"/>
      <c r="G8" s="602"/>
      <c r="H8" s="602"/>
      <c r="I8" s="602"/>
    </row>
    <row r="9" s="47" customFormat="true" ht="0.75" hidden="false" customHeight="true" outlineLevel="0" collapsed="false">
      <c r="A9" s="459"/>
      <c r="H9" s="603"/>
      <c r="I9" s="603" t="s">
        <v>124</v>
      </c>
    </row>
    <row r="10" customFormat="false" ht="11.25" hidden="false" customHeight="true" outlineLevel="0" collapsed="false">
      <c r="E10" s="604"/>
      <c r="F10" s="605" t="s">
        <v>113</v>
      </c>
      <c r="G10" s="605"/>
      <c r="H10" s="606" t="str">
        <f aca="false">IF(H9="","",INDEX(DIFFERENTIATION_UNMERGE_VD,MATCH(H9,DIFFERENTIATION_ID_DIFF,0)))</f>
        <v/>
      </c>
      <c r="I10" s="606" t="n">
        <f aca="false">IF(I9="","",INDEX(DIFFERENTIATION_UNMERGE_VD,MATCH(I9,DIFFERENTIATION_ID_DIFF,0)))</f>
        <v>0</v>
      </c>
      <c r="J10" s="133"/>
    </row>
    <row r="11" customFormat="false" ht="11.25" hidden="false" customHeight="true" outlineLevel="0" collapsed="false">
      <c r="E11" s="604"/>
      <c r="F11" s="605" t="s">
        <v>585</v>
      </c>
      <c r="G11" s="605"/>
      <c r="H11" s="606" t="str">
        <f aca="false">IF(H9="","",INDEX(DIFFERENTIATION_UNMERGE_AREA,MATCH(H9,DIFFERENTIATION_ID_DIFF,0)))</f>
        <v/>
      </c>
      <c r="I11" s="606" t="str">
        <f aca="false">IF(I9="","",INDEX(DIFFERENTIATION_UNMERGE_AREA,MATCH(I9,DIFFERENTIATION_ID_DIFF,0)))</f>
        <v/>
      </c>
      <c r="J11" s="133"/>
    </row>
    <row r="12" customFormat="false" ht="11.25" hidden="true" customHeight="true" outlineLevel="0" collapsed="false">
      <c r="E12" s="680"/>
      <c r="F12" s="681" t="s">
        <v>586</v>
      </c>
      <c r="G12" s="681"/>
      <c r="H12" s="682" t="str">
        <f aca="false">IF(H9="","",INDEX(DIFFERENTIATION_UNMERGE_SYSTEM,MATCH(H9,DIFFERENTIATION_ID_DIFF,0)))</f>
        <v/>
      </c>
      <c r="I12" s="682" t="str">
        <f aca="false">IF(I9="","",INDEX(DIFFERENTIATION_UNMERGE_SYSTEM,MATCH(I9,DIFFERENTIATION_ID_DIFF,0)))</f>
        <v>без дифференциации</v>
      </c>
      <c r="J12" s="133"/>
    </row>
    <row r="13" customFormat="false" ht="11.25" hidden="false" customHeight="true" outlineLevel="0" collapsed="false">
      <c r="E13" s="607" t="s">
        <v>316</v>
      </c>
      <c r="F13" s="607"/>
      <c r="G13" s="607"/>
      <c r="H13" s="608"/>
      <c r="I13" s="608"/>
      <c r="J13" s="133"/>
    </row>
    <row r="14" customFormat="false" ht="22.5" hidden="false" customHeight="true" outlineLevel="0" collapsed="false">
      <c r="E14" s="145" t="s">
        <v>84</v>
      </c>
      <c r="F14" s="145" t="s">
        <v>318</v>
      </c>
      <c r="G14" s="145" t="s">
        <v>587</v>
      </c>
      <c r="H14" s="145" t="s">
        <v>319</v>
      </c>
      <c r="I14" s="145" t="s">
        <v>319</v>
      </c>
      <c r="J14" s="133"/>
    </row>
    <row r="15" customFormat="false" ht="18.75" hidden="false" customHeight="true" outlineLevel="0" collapsed="false">
      <c r="D15" s="113"/>
      <c r="E15" s="683" t="s">
        <v>117</v>
      </c>
      <c r="F15" s="609" t="s">
        <v>638</v>
      </c>
      <c r="G15" s="145" t="s">
        <v>573</v>
      </c>
      <c r="H15" s="610"/>
      <c r="I15" s="610"/>
      <c r="J15" s="420" t="s">
        <v>639</v>
      </c>
      <c r="K15" s="593" t="s">
        <v>640</v>
      </c>
    </row>
    <row r="16" customFormat="false" ht="33.75" hidden="false" customHeight="true" outlineLevel="0" collapsed="false">
      <c r="D16" s="113"/>
      <c r="E16" s="683" t="s">
        <v>99</v>
      </c>
      <c r="F16" s="609" t="s">
        <v>641</v>
      </c>
      <c r="G16" s="145" t="s">
        <v>573</v>
      </c>
      <c r="H16" s="611" t="n">
        <f aca="false">SUM(H17,H20:H32)</f>
        <v>0</v>
      </c>
      <c r="I16" s="611" t="n">
        <f aca="false">SUM(I17,I20:I32)</f>
        <v>0</v>
      </c>
      <c r="J16" s="420" t="s">
        <v>642</v>
      </c>
      <c r="K16" s="593" t="s">
        <v>640</v>
      </c>
    </row>
    <row r="17" customFormat="false" ht="18.75" hidden="false" customHeight="true" outlineLevel="0" collapsed="false">
      <c r="D17" s="113"/>
      <c r="E17" s="684" t="s">
        <v>643</v>
      </c>
      <c r="F17" s="557" t="s">
        <v>644</v>
      </c>
      <c r="G17" s="501" t="s">
        <v>573</v>
      </c>
      <c r="H17" s="610"/>
      <c r="I17" s="610"/>
      <c r="J17" s="420" t="s">
        <v>645</v>
      </c>
      <c r="K17" s="593"/>
    </row>
    <row r="18" customFormat="false" ht="22.5" hidden="false" customHeight="true" outlineLevel="0" collapsed="false">
      <c r="D18" s="113"/>
      <c r="E18" s="684" t="s">
        <v>646</v>
      </c>
      <c r="F18" s="626" t="s">
        <v>647</v>
      </c>
      <c r="G18" s="501" t="s">
        <v>573</v>
      </c>
      <c r="H18" s="610"/>
      <c r="I18" s="610"/>
      <c r="J18" s="420" t="s">
        <v>648</v>
      </c>
      <c r="K18" s="593"/>
    </row>
    <row r="19" customFormat="false" ht="33.75" hidden="false" customHeight="true" outlineLevel="0" collapsed="false">
      <c r="D19" s="113"/>
      <c r="E19" s="684" t="s">
        <v>649</v>
      </c>
      <c r="F19" s="626" t="s">
        <v>650</v>
      </c>
      <c r="G19" s="501" t="s">
        <v>573</v>
      </c>
      <c r="H19" s="610"/>
      <c r="I19" s="610"/>
      <c r="J19" s="420"/>
      <c r="K19" s="593"/>
    </row>
    <row r="20" customFormat="false" ht="18.75" hidden="false" customHeight="true" outlineLevel="0" collapsed="false">
      <c r="D20" s="113"/>
      <c r="E20" s="684" t="s">
        <v>323</v>
      </c>
      <c r="F20" s="557" t="s">
        <v>651</v>
      </c>
      <c r="G20" s="501" t="s">
        <v>573</v>
      </c>
      <c r="H20" s="610"/>
      <c r="I20" s="610"/>
      <c r="J20" s="420" t="s">
        <v>652</v>
      </c>
      <c r="K20" s="593"/>
    </row>
    <row r="21" customFormat="false" ht="18.75" hidden="false" customHeight="true" outlineLevel="0" collapsed="false">
      <c r="D21" s="113"/>
      <c r="E21" s="684" t="s">
        <v>653</v>
      </c>
      <c r="F21" s="626" t="s">
        <v>654</v>
      </c>
      <c r="G21" s="501" t="s">
        <v>573</v>
      </c>
      <c r="H21" s="610"/>
      <c r="I21" s="610"/>
      <c r="J21" s="420"/>
      <c r="K21" s="593"/>
    </row>
    <row r="22" customFormat="false" ht="18.75" hidden="false" customHeight="true" outlineLevel="0" collapsed="false">
      <c r="D22" s="113"/>
      <c r="E22" s="684" t="s">
        <v>655</v>
      </c>
      <c r="F22" s="626" t="s">
        <v>656</v>
      </c>
      <c r="G22" s="501" t="s">
        <v>573</v>
      </c>
      <c r="H22" s="610"/>
      <c r="I22" s="610"/>
      <c r="J22" s="420"/>
      <c r="K22" s="593"/>
    </row>
    <row r="23" customFormat="false" ht="22.5" hidden="false" customHeight="true" outlineLevel="0" collapsed="false">
      <c r="D23" s="113"/>
      <c r="E23" s="684" t="s">
        <v>326</v>
      </c>
      <c r="F23" s="557" t="s">
        <v>657</v>
      </c>
      <c r="G23" s="501" t="s">
        <v>573</v>
      </c>
      <c r="H23" s="610"/>
      <c r="I23" s="610"/>
      <c r="J23" s="420" t="s">
        <v>658</v>
      </c>
      <c r="K23" s="593"/>
    </row>
    <row r="24" customFormat="false" ht="18.75" hidden="false" customHeight="true" outlineLevel="0" collapsed="false">
      <c r="D24" s="113"/>
      <c r="E24" s="684" t="s">
        <v>659</v>
      </c>
      <c r="F24" s="626" t="s">
        <v>660</v>
      </c>
      <c r="G24" s="501" t="s">
        <v>573</v>
      </c>
      <c r="H24" s="610"/>
      <c r="I24" s="610"/>
      <c r="J24" s="420"/>
      <c r="K24" s="593"/>
    </row>
    <row r="25" customFormat="false" ht="33.75" hidden="false" customHeight="true" outlineLevel="0" collapsed="false">
      <c r="D25" s="113"/>
      <c r="E25" s="684" t="s">
        <v>661</v>
      </c>
      <c r="F25" s="626" t="s">
        <v>662</v>
      </c>
      <c r="G25" s="501" t="s">
        <v>573</v>
      </c>
      <c r="H25" s="610"/>
      <c r="I25" s="610"/>
      <c r="J25" s="420"/>
      <c r="K25" s="593"/>
    </row>
    <row r="26" customFormat="false" ht="22.5" hidden="false" customHeight="true" outlineLevel="0" collapsed="false">
      <c r="D26" s="113"/>
      <c r="E26" s="684" t="s">
        <v>663</v>
      </c>
      <c r="F26" s="557" t="s">
        <v>664</v>
      </c>
      <c r="G26" s="501" t="s">
        <v>573</v>
      </c>
      <c r="H26" s="610"/>
      <c r="I26" s="610"/>
      <c r="J26" s="420" t="s">
        <v>665</v>
      </c>
      <c r="K26" s="593"/>
    </row>
    <row r="27" customFormat="false" ht="18.75" hidden="false" customHeight="true" outlineLevel="0" collapsed="false">
      <c r="D27" s="113"/>
      <c r="E27" s="685" t="s">
        <v>666</v>
      </c>
      <c r="F27" s="626" t="s">
        <v>667</v>
      </c>
      <c r="G27" s="501" t="s">
        <v>573</v>
      </c>
      <c r="H27" s="686"/>
      <c r="I27" s="686"/>
      <c r="J27" s="420"/>
      <c r="K27" s="593"/>
    </row>
    <row r="28" customFormat="false" ht="18.75" hidden="false" customHeight="true" outlineLevel="0" collapsed="false">
      <c r="D28" s="113"/>
      <c r="E28" s="685" t="s">
        <v>668</v>
      </c>
      <c r="F28" s="626" t="s">
        <v>669</v>
      </c>
      <c r="G28" s="501" t="s">
        <v>573</v>
      </c>
      <c r="H28" s="686"/>
      <c r="I28" s="686"/>
      <c r="J28" s="420"/>
      <c r="K28" s="593"/>
    </row>
    <row r="29" customFormat="false" ht="18.75" hidden="false" customHeight="true" outlineLevel="0" collapsed="false">
      <c r="D29" s="113"/>
      <c r="E29" s="685" t="s">
        <v>670</v>
      </c>
      <c r="F29" s="557" t="s">
        <v>671</v>
      </c>
      <c r="G29" s="501" t="s">
        <v>573</v>
      </c>
      <c r="H29" s="686"/>
      <c r="I29" s="686"/>
      <c r="J29" s="420"/>
      <c r="K29" s="593"/>
    </row>
    <row r="30" customFormat="false" ht="18.75" hidden="false" customHeight="true" outlineLevel="0" collapsed="false">
      <c r="D30" s="113"/>
      <c r="E30" s="685" t="s">
        <v>672</v>
      </c>
      <c r="F30" s="557" t="s">
        <v>673</v>
      </c>
      <c r="G30" s="501" t="s">
        <v>573</v>
      </c>
      <c r="H30" s="686"/>
      <c r="I30" s="686"/>
      <c r="J30" s="420"/>
      <c r="K30" s="593"/>
    </row>
    <row r="31" customFormat="false" ht="18.75" hidden="false" customHeight="true" outlineLevel="0" collapsed="false">
      <c r="D31" s="113"/>
      <c r="E31" s="685" t="s">
        <v>674</v>
      </c>
      <c r="F31" s="557" t="s">
        <v>675</v>
      </c>
      <c r="G31" s="501" t="s">
        <v>573</v>
      </c>
      <c r="H31" s="686"/>
      <c r="I31" s="686"/>
      <c r="J31" s="420"/>
      <c r="K31" s="593"/>
    </row>
    <row r="32" s="45" customFormat="true" ht="22.5" hidden="false" customHeight="true" outlineLevel="0" collapsed="false">
      <c r="A32" s="589"/>
      <c r="C32" s="47"/>
      <c r="D32" s="113"/>
      <c r="E32" s="685" t="s">
        <v>676</v>
      </c>
      <c r="F32" s="557" t="s">
        <v>677</v>
      </c>
      <c r="G32" s="266" t="s">
        <v>573</v>
      </c>
      <c r="H32" s="633" t="n">
        <f aca="false">SUM(H33:H34)</f>
        <v>0</v>
      </c>
      <c r="I32" s="633" t="n">
        <f aca="false">SUM(I33:I34)</f>
        <v>0</v>
      </c>
      <c r="J32" s="420" t="s">
        <v>678</v>
      </c>
      <c r="K32" s="593"/>
      <c r="L32" s="47"/>
      <c r="M32" s="47"/>
      <c r="R32" s="47"/>
      <c r="U32" s="590"/>
    </row>
    <row r="33" s="47" customFormat="true" ht="0.75" hidden="false" customHeight="true" outlineLevel="0" collapsed="false">
      <c r="A33" s="459"/>
      <c r="D33" s="459"/>
      <c r="E33" s="146" t="str">
        <f aca="false">E32&amp;".0"</f>
        <v>2.8.0</v>
      </c>
      <c r="F33" s="634"/>
      <c r="G33" s="146"/>
      <c r="H33" s="635"/>
      <c r="I33" s="635"/>
      <c r="J33" s="636"/>
    </row>
    <row r="34" s="45" customFormat="true" ht="18.75" hidden="false" customHeight="true" outlineLevel="0" collapsed="false">
      <c r="A34" s="589"/>
      <c r="C34" s="47"/>
      <c r="D34" s="116"/>
      <c r="E34" s="623"/>
      <c r="F34" s="687" t="s">
        <v>598</v>
      </c>
      <c r="G34" s="624"/>
      <c r="H34" s="625"/>
      <c r="I34" s="625"/>
      <c r="J34" s="478" t="s">
        <v>679</v>
      </c>
      <c r="K34" s="593"/>
      <c r="L34" s="47"/>
      <c r="M34" s="47"/>
      <c r="R34" s="47"/>
      <c r="U34" s="590"/>
    </row>
    <row r="35" customFormat="false" ht="56.25" hidden="false" customHeight="true" outlineLevel="0" collapsed="false">
      <c r="D35" s="113"/>
      <c r="E35" s="685" t="s">
        <v>680</v>
      </c>
      <c r="F35" s="557" t="s">
        <v>681</v>
      </c>
      <c r="G35" s="501" t="s">
        <v>573</v>
      </c>
      <c r="H35" s="686"/>
      <c r="I35" s="686"/>
      <c r="J35" s="420" t="s">
        <v>682</v>
      </c>
      <c r="K35" s="593"/>
    </row>
    <row r="36" s="45" customFormat="true" ht="22.5" hidden="false" customHeight="true" outlineLevel="0" collapsed="false">
      <c r="A36" s="628" t="s">
        <v>599</v>
      </c>
      <c r="C36" s="47"/>
      <c r="D36" s="113"/>
      <c r="E36" s="684" t="s">
        <v>86</v>
      </c>
      <c r="F36" s="609" t="s">
        <v>683</v>
      </c>
      <c r="G36" s="501" t="s">
        <v>573</v>
      </c>
      <c r="H36" s="610"/>
      <c r="I36" s="610"/>
      <c r="J36" s="420" t="s">
        <v>684</v>
      </c>
      <c r="K36" s="593"/>
      <c r="L36" s="47"/>
      <c r="M36" s="47"/>
      <c r="R36" s="47"/>
      <c r="U36" s="590"/>
    </row>
    <row r="37" s="45" customFormat="true" ht="22.5" hidden="false" customHeight="true" outlineLevel="0" collapsed="false">
      <c r="A37" s="628"/>
      <c r="C37" s="47"/>
      <c r="D37" s="113"/>
      <c r="E37" s="684" t="s">
        <v>340</v>
      </c>
      <c r="F37" s="557" t="s">
        <v>685</v>
      </c>
      <c r="G37" s="501"/>
      <c r="H37" s="610"/>
      <c r="I37" s="610"/>
      <c r="J37" s="420"/>
      <c r="K37" s="593"/>
      <c r="L37" s="47"/>
      <c r="M37" s="47"/>
      <c r="R37" s="47"/>
      <c r="U37" s="590"/>
    </row>
    <row r="38" s="45" customFormat="true" ht="18.75" hidden="false" customHeight="true" outlineLevel="0" collapsed="false">
      <c r="A38" s="589"/>
      <c r="C38" s="47"/>
      <c r="D38" s="629"/>
      <c r="E38" s="684" t="s">
        <v>87</v>
      </c>
      <c r="F38" s="609" t="s">
        <v>686</v>
      </c>
      <c r="G38" s="501" t="s">
        <v>573</v>
      </c>
      <c r="H38" s="610"/>
      <c r="I38" s="610"/>
      <c r="J38" s="420" t="s">
        <v>687</v>
      </c>
      <c r="K38" s="593"/>
      <c r="L38" s="47"/>
      <c r="M38" s="47"/>
      <c r="R38" s="47"/>
      <c r="U38" s="590"/>
    </row>
    <row r="39" s="45" customFormat="true" ht="22.5" hidden="false" customHeight="true" outlineLevel="0" collapsed="false">
      <c r="A39" s="589"/>
      <c r="C39" s="47"/>
      <c r="D39" s="629"/>
      <c r="E39" s="684" t="s">
        <v>688</v>
      </c>
      <c r="F39" s="557" t="s">
        <v>689</v>
      </c>
      <c r="G39" s="501" t="s">
        <v>573</v>
      </c>
      <c r="H39" s="610"/>
      <c r="I39" s="610"/>
      <c r="J39" s="420" t="s">
        <v>690</v>
      </c>
      <c r="K39" s="593"/>
      <c r="L39" s="47"/>
      <c r="M39" s="47"/>
      <c r="R39" s="47"/>
      <c r="U39" s="590"/>
    </row>
    <row r="40" s="45" customFormat="true" ht="22.5" hidden="false" customHeight="true" outlineLevel="0" collapsed="false">
      <c r="A40" s="589"/>
      <c r="C40" s="47"/>
      <c r="D40" s="113"/>
      <c r="E40" s="684" t="s">
        <v>691</v>
      </c>
      <c r="F40" s="626" t="s">
        <v>692</v>
      </c>
      <c r="G40" s="501" t="s">
        <v>573</v>
      </c>
      <c r="H40" s="610"/>
      <c r="I40" s="610"/>
      <c r="J40" s="420" t="s">
        <v>693</v>
      </c>
      <c r="K40" s="593"/>
      <c r="L40" s="47"/>
      <c r="M40" s="47"/>
      <c r="R40" s="47"/>
      <c r="U40" s="590"/>
    </row>
    <row r="41" s="45" customFormat="true" ht="22.5" hidden="false" customHeight="true" outlineLevel="0" collapsed="false">
      <c r="A41" s="589"/>
      <c r="C41" s="47"/>
      <c r="D41" s="113"/>
      <c r="E41" s="684" t="s">
        <v>694</v>
      </c>
      <c r="F41" s="626" t="s">
        <v>695</v>
      </c>
      <c r="G41" s="501" t="s">
        <v>573</v>
      </c>
      <c r="H41" s="610"/>
      <c r="I41" s="610"/>
      <c r="J41" s="420" t="s">
        <v>696</v>
      </c>
      <c r="K41" s="593"/>
      <c r="L41" s="47"/>
      <c r="M41" s="47"/>
      <c r="R41" s="47"/>
      <c r="U41" s="590"/>
    </row>
    <row r="42" s="45" customFormat="true" ht="22.5" hidden="false" customHeight="true" outlineLevel="0" collapsed="false">
      <c r="A42" s="589"/>
      <c r="C42" s="47"/>
      <c r="D42" s="113"/>
      <c r="E42" s="684" t="s">
        <v>697</v>
      </c>
      <c r="F42" s="626" t="s">
        <v>698</v>
      </c>
      <c r="G42" s="501" t="s">
        <v>573</v>
      </c>
      <c r="H42" s="610"/>
      <c r="I42" s="610"/>
      <c r="J42" s="420" t="s">
        <v>699</v>
      </c>
      <c r="K42" s="593"/>
      <c r="L42" s="47"/>
      <c r="M42" s="47"/>
      <c r="R42" s="47"/>
      <c r="U42" s="590"/>
    </row>
    <row r="43" s="45" customFormat="true" ht="33.75" hidden="false" customHeight="true" outlineLevel="0" collapsed="false">
      <c r="A43" s="589"/>
      <c r="C43" s="47" t="s">
        <v>609</v>
      </c>
      <c r="D43" s="113"/>
      <c r="E43" s="684" t="s">
        <v>118</v>
      </c>
      <c r="F43" s="609" t="s">
        <v>700</v>
      </c>
      <c r="G43" s="145" t="s">
        <v>701</v>
      </c>
      <c r="H43" s="639"/>
      <c r="I43" s="639"/>
      <c r="J43" s="420" t="s">
        <v>702</v>
      </c>
      <c r="K43" s="593"/>
      <c r="L43" s="47"/>
      <c r="M43" s="47"/>
      <c r="R43" s="47"/>
      <c r="U43" s="590"/>
    </row>
    <row r="44" s="45" customFormat="true" ht="22.5" hidden="false" customHeight="true" outlineLevel="0" collapsed="false">
      <c r="A44" s="589"/>
      <c r="C44" s="47"/>
      <c r="D44" s="113"/>
      <c r="E44" s="684" t="s">
        <v>88</v>
      </c>
      <c r="F44" s="609" t="s">
        <v>703</v>
      </c>
      <c r="G44" s="501" t="s">
        <v>704</v>
      </c>
      <c r="H44" s="600"/>
      <c r="I44" s="600"/>
      <c r="J44" s="420" t="s">
        <v>705</v>
      </c>
      <c r="K44" s="593"/>
      <c r="L44" s="47"/>
      <c r="M44" s="47"/>
      <c r="R44" s="47"/>
      <c r="U44" s="590"/>
    </row>
    <row r="45" s="45" customFormat="true" ht="22.5" hidden="false" customHeight="true" outlineLevel="0" collapsed="false">
      <c r="A45" s="589"/>
      <c r="C45" s="47"/>
      <c r="D45" s="113"/>
      <c r="E45" s="684" t="s">
        <v>89</v>
      </c>
      <c r="F45" s="609" t="s">
        <v>706</v>
      </c>
      <c r="G45" s="501" t="s">
        <v>707</v>
      </c>
      <c r="H45" s="600"/>
      <c r="I45" s="600"/>
      <c r="J45" s="420" t="s">
        <v>708</v>
      </c>
      <c r="K45" s="593"/>
      <c r="L45" s="47"/>
      <c r="M45" s="47"/>
      <c r="R45" s="47"/>
      <c r="U45" s="590"/>
    </row>
    <row r="46" s="45" customFormat="true" ht="18.75" hidden="false" customHeight="true" outlineLevel="0" collapsed="false">
      <c r="A46" s="589"/>
      <c r="C46" s="47"/>
      <c r="D46" s="113"/>
      <c r="E46" s="684" t="s">
        <v>119</v>
      </c>
      <c r="F46" s="609" t="s">
        <v>709</v>
      </c>
      <c r="G46" s="501" t="s">
        <v>611</v>
      </c>
      <c r="H46" s="630"/>
      <c r="I46" s="630"/>
      <c r="J46" s="420"/>
      <c r="K46" s="593"/>
      <c r="L46" s="47"/>
      <c r="M46" s="47"/>
      <c r="R46" s="47"/>
      <c r="U46" s="590"/>
    </row>
    <row r="47" customFormat="false" ht="11.25" hidden="false" customHeight="true" outlineLevel="0" collapsed="false">
      <c r="D47" s="113"/>
    </row>
    <row r="48" customFormat="false" ht="26.25" hidden="false" customHeight="true" outlineLevel="0" collapsed="false">
      <c r="D48" s="113"/>
      <c r="E48" s="412"/>
      <c r="F48" s="491"/>
      <c r="G48" s="491"/>
      <c r="H48" s="491"/>
      <c r="I48" s="491"/>
      <c r="J48" s="491"/>
    </row>
    <row r="49" s="119" customFormat="true" ht="37.5" hidden="false" customHeight="true" outlineLevel="0" collapsed="false">
      <c r="A49" s="589"/>
      <c r="B49" s="47"/>
      <c r="C49" s="47"/>
      <c r="F49" s="491"/>
      <c r="G49" s="491"/>
      <c r="H49" s="491"/>
      <c r="I49" s="491"/>
      <c r="J49" s="491"/>
      <c r="K49" s="45"/>
      <c r="L49" s="47"/>
      <c r="M49" s="47"/>
      <c r="N49" s="45"/>
      <c r="O49" s="45"/>
      <c r="P49" s="45"/>
      <c r="Q49" s="45"/>
      <c r="R49" s="47"/>
      <c r="S49" s="45"/>
      <c r="T49" s="45"/>
      <c r="U49" s="590"/>
      <c r="V49" s="45"/>
      <c r="W49" s="45"/>
      <c r="X49" s="45"/>
      <c r="Y49" s="45"/>
      <c r="Z49" s="45"/>
      <c r="AA49" s="45"/>
      <c r="AB49" s="47"/>
      <c r="AC49" s="47"/>
      <c r="AD49" s="47"/>
      <c r="AE49" s="47"/>
    </row>
    <row r="50" s="119" customFormat="true" ht="11.25" hidden="false" customHeight="true" outlineLevel="0" collapsed="false">
      <c r="A50" s="589"/>
      <c r="B50" s="47"/>
      <c r="C50" s="47"/>
      <c r="K50" s="45"/>
      <c r="L50" s="47"/>
      <c r="M50" s="47"/>
      <c r="N50" s="45"/>
      <c r="O50" s="45"/>
      <c r="P50" s="45"/>
      <c r="Q50" s="45"/>
      <c r="R50" s="47"/>
      <c r="S50" s="45"/>
      <c r="T50" s="45"/>
      <c r="U50" s="590"/>
      <c r="V50" s="45"/>
      <c r="W50" s="45"/>
      <c r="X50" s="45"/>
      <c r="Y50" s="45"/>
      <c r="Z50" s="45"/>
      <c r="AA50" s="45"/>
      <c r="AB50" s="47"/>
      <c r="AC50" s="47"/>
      <c r="AD50" s="47"/>
      <c r="AE50" s="47"/>
    </row>
    <row r="51" s="119" customFormat="true" ht="11.25" hidden="false" customHeight="true" outlineLevel="0" collapsed="false">
      <c r="A51" s="589"/>
      <c r="B51" s="47"/>
      <c r="C51" s="47"/>
      <c r="K51" s="45"/>
      <c r="L51" s="47"/>
      <c r="M51" s="47"/>
      <c r="N51" s="45"/>
      <c r="O51" s="45"/>
      <c r="P51" s="45"/>
      <c r="Q51" s="45"/>
      <c r="R51" s="47"/>
      <c r="S51" s="45"/>
      <c r="T51" s="45"/>
      <c r="U51" s="590"/>
      <c r="V51" s="45"/>
      <c r="W51" s="45"/>
      <c r="X51" s="45"/>
      <c r="Y51" s="45"/>
      <c r="Z51" s="45"/>
      <c r="AA51" s="45"/>
      <c r="AB51" s="47"/>
      <c r="AC51" s="47"/>
      <c r="AD51" s="47"/>
      <c r="AE51" s="47"/>
    </row>
    <row r="52" s="119" customFormat="true" ht="11.25" hidden="false" customHeight="true" outlineLevel="0" collapsed="false">
      <c r="A52" s="589"/>
      <c r="B52" s="47"/>
      <c r="C52" s="47"/>
      <c r="H52" s="47"/>
      <c r="I52" s="47"/>
      <c r="K52" s="45"/>
      <c r="L52" s="47"/>
      <c r="M52" s="47"/>
      <c r="N52" s="45"/>
      <c r="O52" s="45"/>
      <c r="P52" s="45"/>
      <c r="Q52" s="45"/>
      <c r="R52" s="47"/>
      <c r="S52" s="45"/>
      <c r="T52" s="45"/>
      <c r="U52" s="590"/>
      <c r="V52" s="45"/>
      <c r="W52" s="45"/>
      <c r="X52" s="45"/>
      <c r="Y52" s="45"/>
      <c r="Z52" s="45"/>
      <c r="AA52" s="45"/>
      <c r="AB52" s="47"/>
      <c r="AC52" s="47"/>
      <c r="AD52" s="47"/>
      <c r="AE52" s="47"/>
    </row>
    <row r="53" s="119" customFormat="true" ht="11.25" hidden="false" customHeight="true" outlineLevel="0" collapsed="false">
      <c r="A53" s="589"/>
      <c r="B53" s="47"/>
      <c r="C53" s="47"/>
      <c r="K53" s="45"/>
      <c r="L53" s="47"/>
      <c r="M53" s="47"/>
      <c r="N53" s="45"/>
      <c r="O53" s="45"/>
      <c r="P53" s="45"/>
      <c r="Q53" s="45"/>
      <c r="R53" s="47"/>
      <c r="S53" s="45"/>
      <c r="T53" s="45"/>
      <c r="U53" s="590"/>
      <c r="V53" s="45"/>
      <c r="W53" s="45"/>
      <c r="X53" s="45"/>
      <c r="Y53" s="45"/>
      <c r="Z53" s="45"/>
      <c r="AA53" s="45"/>
      <c r="AB53" s="47"/>
      <c r="AC53" s="47"/>
      <c r="AD53" s="47"/>
      <c r="AE53" s="47"/>
    </row>
    <row r="54" s="119" customFormat="true" ht="11.25" hidden="false" customHeight="true" outlineLevel="0" collapsed="false">
      <c r="A54" s="589"/>
      <c r="B54" s="47"/>
      <c r="C54" s="47"/>
      <c r="K54" s="45"/>
      <c r="L54" s="47"/>
      <c r="M54" s="47"/>
      <c r="N54" s="45"/>
      <c r="O54" s="45"/>
      <c r="P54" s="45"/>
      <c r="Q54" s="45"/>
      <c r="R54" s="47"/>
      <c r="S54" s="45"/>
      <c r="T54" s="45"/>
      <c r="U54" s="590"/>
      <c r="V54" s="45"/>
      <c r="W54" s="45"/>
      <c r="X54" s="45"/>
      <c r="Y54" s="45"/>
      <c r="Z54" s="45"/>
      <c r="AA54" s="45"/>
      <c r="AB54" s="47"/>
      <c r="AC54" s="47"/>
      <c r="AD54" s="47"/>
      <c r="AE54" s="47"/>
    </row>
    <row r="55" s="119" customFormat="true" ht="11.25" hidden="false" customHeight="true" outlineLevel="0" collapsed="false">
      <c r="A55" s="589"/>
      <c r="B55" s="47"/>
      <c r="C55" s="47"/>
      <c r="K55" s="45"/>
      <c r="L55" s="47"/>
      <c r="M55" s="47"/>
      <c r="N55" s="45"/>
      <c r="O55" s="45"/>
      <c r="P55" s="45"/>
      <c r="Q55" s="45"/>
      <c r="R55" s="47"/>
      <c r="S55" s="45"/>
      <c r="T55" s="45"/>
      <c r="U55" s="590"/>
      <c r="V55" s="45"/>
      <c r="W55" s="45"/>
      <c r="X55" s="45"/>
      <c r="Y55" s="45"/>
      <c r="Z55" s="45"/>
      <c r="AA55" s="45"/>
      <c r="AB55" s="47"/>
      <c r="AC55" s="47"/>
      <c r="AD55" s="47"/>
      <c r="AE55" s="47"/>
    </row>
    <row r="56" s="119" customFormat="true" ht="11.25" hidden="false" customHeight="true" outlineLevel="0" collapsed="false">
      <c r="A56" s="589"/>
      <c r="B56" s="47"/>
      <c r="C56" s="47"/>
      <c r="K56" s="45"/>
      <c r="L56" s="47"/>
      <c r="M56" s="47"/>
      <c r="N56" s="45"/>
      <c r="O56" s="45"/>
      <c r="P56" s="45"/>
      <c r="Q56" s="45"/>
      <c r="R56" s="47"/>
      <c r="S56" s="45"/>
      <c r="T56" s="45"/>
      <c r="U56" s="590"/>
      <c r="V56" s="45"/>
      <c r="W56" s="45"/>
      <c r="X56" s="45"/>
      <c r="Y56" s="45"/>
      <c r="Z56" s="45"/>
      <c r="AA56" s="45"/>
      <c r="AB56" s="47"/>
      <c r="AC56" s="47"/>
      <c r="AD56" s="47"/>
      <c r="AE56" s="47"/>
    </row>
    <row r="57" s="119" customFormat="true" ht="11.25" hidden="false" customHeight="true" outlineLevel="0" collapsed="false">
      <c r="A57" s="589"/>
      <c r="B57" s="47"/>
      <c r="C57" s="47"/>
      <c r="K57" s="45"/>
      <c r="L57" s="47"/>
      <c r="M57" s="47"/>
      <c r="N57" s="45"/>
      <c r="O57" s="45"/>
      <c r="P57" s="45"/>
      <c r="Q57" s="45"/>
      <c r="R57" s="47"/>
      <c r="S57" s="45"/>
      <c r="T57" s="45"/>
      <c r="U57" s="590"/>
      <c r="V57" s="45"/>
      <c r="W57" s="45"/>
      <c r="X57" s="45"/>
      <c r="Y57" s="45"/>
      <c r="Z57" s="45"/>
      <c r="AA57" s="45"/>
      <c r="AB57" s="47"/>
      <c r="AC57" s="47"/>
      <c r="AD57" s="47"/>
      <c r="AE57" s="47"/>
    </row>
    <row r="58" s="119" customFormat="true" ht="11.25" hidden="false" customHeight="true" outlineLevel="0" collapsed="false">
      <c r="A58" s="589"/>
      <c r="B58" s="47"/>
      <c r="C58" s="47"/>
      <c r="K58" s="45"/>
      <c r="L58" s="47"/>
      <c r="M58" s="47"/>
      <c r="N58" s="45"/>
      <c r="O58" s="45"/>
      <c r="P58" s="45"/>
      <c r="Q58" s="45"/>
      <c r="R58" s="47"/>
      <c r="S58" s="45"/>
      <c r="T58" s="45"/>
      <c r="U58" s="590"/>
      <c r="V58" s="45"/>
      <c r="W58" s="45"/>
      <c r="X58" s="45"/>
      <c r="Y58" s="45"/>
      <c r="Z58" s="45"/>
      <c r="AA58" s="45"/>
      <c r="AB58" s="47"/>
      <c r="AC58" s="47"/>
      <c r="AD58" s="47"/>
      <c r="AE58" s="47"/>
    </row>
    <row r="59" s="119" customFormat="true" ht="11.25" hidden="false" customHeight="true" outlineLevel="0" collapsed="false">
      <c r="A59" s="589"/>
      <c r="B59" s="47"/>
      <c r="C59" s="47"/>
      <c r="K59" s="45"/>
      <c r="L59" s="47"/>
      <c r="M59" s="47"/>
      <c r="N59" s="45"/>
      <c r="O59" s="45"/>
      <c r="P59" s="45"/>
      <c r="Q59" s="45"/>
      <c r="R59" s="47"/>
      <c r="S59" s="45"/>
      <c r="T59" s="45"/>
      <c r="U59" s="590"/>
      <c r="V59" s="45"/>
      <c r="W59" s="45"/>
      <c r="X59" s="45"/>
      <c r="Y59" s="45"/>
      <c r="Z59" s="45"/>
      <c r="AA59" s="45"/>
      <c r="AB59" s="47"/>
      <c r="AC59" s="47"/>
      <c r="AD59" s="47"/>
      <c r="AE59" s="47"/>
    </row>
    <row r="60" s="119" customFormat="true" ht="11.25" hidden="false" customHeight="true" outlineLevel="0" collapsed="false">
      <c r="A60" s="589"/>
      <c r="B60" s="47"/>
      <c r="C60" s="47"/>
      <c r="K60" s="45"/>
      <c r="L60" s="47"/>
      <c r="M60" s="47"/>
      <c r="N60" s="45"/>
      <c r="O60" s="45"/>
      <c r="P60" s="45"/>
      <c r="Q60" s="45"/>
      <c r="R60" s="47"/>
      <c r="S60" s="45"/>
      <c r="T60" s="45"/>
      <c r="U60" s="590"/>
      <c r="V60" s="45"/>
      <c r="W60" s="45"/>
      <c r="X60" s="45"/>
      <c r="Y60" s="45"/>
      <c r="Z60" s="45"/>
      <c r="AA60" s="45"/>
      <c r="AB60" s="47"/>
      <c r="AC60" s="47"/>
      <c r="AD60" s="47"/>
      <c r="AE60" s="47"/>
    </row>
    <row r="61" s="119" customFormat="true" ht="11.25" hidden="false" customHeight="true" outlineLevel="0" collapsed="false">
      <c r="A61" s="589"/>
      <c r="B61" s="47"/>
      <c r="C61" s="47"/>
      <c r="K61" s="45"/>
      <c r="L61" s="47"/>
      <c r="M61" s="47"/>
      <c r="N61" s="45"/>
      <c r="O61" s="45"/>
      <c r="P61" s="45"/>
      <c r="Q61" s="45"/>
      <c r="R61" s="47"/>
      <c r="S61" s="45"/>
      <c r="T61" s="45"/>
      <c r="U61" s="590"/>
      <c r="V61" s="45"/>
      <c r="W61" s="45"/>
      <c r="X61" s="45"/>
      <c r="Y61" s="45"/>
      <c r="Z61" s="45"/>
      <c r="AA61" s="45"/>
      <c r="AB61" s="47"/>
      <c r="AC61" s="47"/>
      <c r="AD61" s="47"/>
      <c r="AE61" s="47"/>
    </row>
    <row r="62" s="119" customFormat="true" ht="11.25" hidden="false" customHeight="true" outlineLevel="0" collapsed="false">
      <c r="A62" s="589"/>
      <c r="B62" s="47"/>
      <c r="C62" s="47"/>
      <c r="K62" s="45"/>
      <c r="L62" s="47"/>
      <c r="M62" s="47"/>
      <c r="N62" s="45"/>
      <c r="O62" s="45"/>
      <c r="P62" s="45"/>
      <c r="Q62" s="45"/>
      <c r="R62" s="47"/>
      <c r="S62" s="45"/>
      <c r="T62" s="45"/>
      <c r="U62" s="590"/>
      <c r="V62" s="45"/>
      <c r="W62" s="45"/>
      <c r="X62" s="45"/>
      <c r="Y62" s="45"/>
      <c r="Z62" s="45"/>
      <c r="AA62" s="45"/>
      <c r="AB62" s="47"/>
      <c r="AC62" s="47"/>
      <c r="AD62" s="47"/>
      <c r="AE62" s="47"/>
    </row>
    <row r="63" s="119" customFormat="true" ht="11.25" hidden="false" customHeight="true" outlineLevel="0" collapsed="false">
      <c r="A63" s="589"/>
      <c r="B63" s="47"/>
      <c r="C63" s="47"/>
      <c r="K63" s="45"/>
      <c r="L63" s="47"/>
      <c r="M63" s="47"/>
      <c r="N63" s="45"/>
      <c r="O63" s="45"/>
      <c r="P63" s="45"/>
      <c r="Q63" s="45"/>
      <c r="R63" s="47"/>
      <c r="S63" s="45"/>
      <c r="T63" s="45"/>
      <c r="U63" s="590"/>
      <c r="V63" s="45"/>
      <c r="W63" s="45"/>
      <c r="X63" s="45"/>
      <c r="Y63" s="45"/>
      <c r="Z63" s="45"/>
      <c r="AA63" s="45"/>
      <c r="AB63" s="47"/>
      <c r="AC63" s="47"/>
      <c r="AD63" s="47"/>
      <c r="AE63" s="47"/>
    </row>
    <row r="64" s="119" customFormat="true" ht="11.25" hidden="false" customHeight="true" outlineLevel="0" collapsed="false">
      <c r="A64" s="589"/>
      <c r="B64" s="47"/>
      <c r="C64" s="47"/>
      <c r="K64" s="45"/>
      <c r="L64" s="47"/>
      <c r="M64" s="47"/>
      <c r="N64" s="45"/>
      <c r="O64" s="45"/>
      <c r="P64" s="45"/>
      <c r="Q64" s="45"/>
      <c r="R64" s="47"/>
      <c r="S64" s="45"/>
      <c r="T64" s="45"/>
      <c r="U64" s="590"/>
      <c r="V64" s="45"/>
      <c r="W64" s="45"/>
      <c r="X64" s="45"/>
      <c r="Y64" s="45"/>
      <c r="Z64" s="45"/>
      <c r="AA64" s="45"/>
      <c r="AB64" s="47"/>
      <c r="AC64" s="47"/>
      <c r="AD64" s="47"/>
      <c r="AE64" s="47"/>
    </row>
    <row r="65" s="119" customFormat="true" ht="11.25" hidden="false" customHeight="true" outlineLevel="0" collapsed="false">
      <c r="A65" s="589"/>
      <c r="B65" s="47"/>
      <c r="C65" s="47"/>
      <c r="K65" s="45"/>
      <c r="L65" s="47"/>
      <c r="M65" s="47"/>
      <c r="N65" s="45"/>
      <c r="O65" s="45"/>
      <c r="P65" s="45"/>
      <c r="Q65" s="45"/>
      <c r="R65" s="47"/>
      <c r="S65" s="45"/>
      <c r="T65" s="45"/>
      <c r="U65" s="590"/>
      <c r="V65" s="45"/>
      <c r="W65" s="45"/>
      <c r="X65" s="45"/>
      <c r="Y65" s="45"/>
      <c r="Z65" s="45"/>
      <c r="AA65" s="45"/>
      <c r="AB65" s="47"/>
      <c r="AC65" s="47"/>
      <c r="AD65" s="47"/>
      <c r="AE65" s="47"/>
    </row>
    <row r="66" s="119" customFormat="true" ht="11.25" hidden="false" customHeight="true" outlineLevel="0" collapsed="false">
      <c r="A66" s="589"/>
      <c r="B66" s="47"/>
      <c r="C66" s="47"/>
      <c r="K66" s="45"/>
      <c r="L66" s="47"/>
      <c r="M66" s="47"/>
      <c r="N66" s="45"/>
      <c r="O66" s="45"/>
      <c r="P66" s="45"/>
      <c r="Q66" s="45"/>
      <c r="R66" s="47"/>
      <c r="S66" s="45"/>
      <c r="T66" s="45"/>
      <c r="U66" s="590"/>
      <c r="V66" s="45"/>
      <c r="W66" s="45"/>
      <c r="X66" s="45"/>
      <c r="Y66" s="45"/>
      <c r="Z66" s="45"/>
      <c r="AA66" s="45"/>
      <c r="AB66" s="47"/>
      <c r="AC66" s="47"/>
      <c r="AD66" s="47"/>
      <c r="AE66" s="47"/>
    </row>
    <row r="67" s="119" customFormat="true" ht="11.25" hidden="false" customHeight="true" outlineLevel="0" collapsed="false">
      <c r="A67" s="589"/>
      <c r="B67" s="47"/>
      <c r="C67" s="47"/>
      <c r="K67" s="45"/>
      <c r="L67" s="47"/>
      <c r="M67" s="47"/>
      <c r="N67" s="45"/>
      <c r="O67" s="45"/>
      <c r="P67" s="45"/>
      <c r="Q67" s="45"/>
      <c r="R67" s="47"/>
      <c r="S67" s="45"/>
      <c r="T67" s="45"/>
      <c r="U67" s="590"/>
      <c r="V67" s="45"/>
      <c r="W67" s="45"/>
      <c r="X67" s="45"/>
      <c r="Y67" s="45"/>
      <c r="Z67" s="45"/>
      <c r="AA67" s="45"/>
      <c r="AB67" s="47"/>
      <c r="AC67" s="47"/>
      <c r="AD67" s="47"/>
      <c r="AE67" s="47"/>
    </row>
    <row r="68" s="119" customFormat="true" ht="11.25" hidden="false" customHeight="true" outlineLevel="0" collapsed="false">
      <c r="A68" s="589"/>
      <c r="B68" s="47"/>
      <c r="C68" s="47"/>
      <c r="K68" s="45"/>
      <c r="L68" s="47"/>
      <c r="M68" s="47"/>
      <c r="N68" s="45"/>
      <c r="O68" s="45"/>
      <c r="P68" s="45"/>
      <c r="Q68" s="45"/>
      <c r="R68" s="47"/>
      <c r="S68" s="45"/>
      <c r="T68" s="45"/>
      <c r="U68" s="590"/>
      <c r="V68" s="45"/>
      <c r="W68" s="45"/>
      <c r="X68" s="45"/>
      <c r="Y68" s="45"/>
      <c r="Z68" s="45"/>
      <c r="AA68" s="45"/>
      <c r="AB68" s="47"/>
      <c r="AC68" s="47"/>
      <c r="AD68" s="47"/>
      <c r="AE68" s="47"/>
    </row>
    <row r="69" s="119" customFormat="true" ht="11.25" hidden="false" customHeight="true" outlineLevel="0" collapsed="false">
      <c r="A69" s="589"/>
      <c r="B69" s="47"/>
      <c r="C69" s="47"/>
      <c r="K69" s="45"/>
      <c r="L69" s="47"/>
      <c r="M69" s="47"/>
      <c r="N69" s="45"/>
      <c r="O69" s="45"/>
      <c r="P69" s="45"/>
      <c r="Q69" s="45"/>
      <c r="R69" s="47"/>
      <c r="S69" s="45"/>
      <c r="T69" s="45"/>
      <c r="U69" s="590"/>
      <c r="V69" s="45"/>
      <c r="W69" s="45"/>
      <c r="X69" s="45"/>
      <c r="Y69" s="45"/>
      <c r="Z69" s="45"/>
      <c r="AA69" s="45"/>
      <c r="AB69" s="47"/>
      <c r="AC69" s="47"/>
      <c r="AD69" s="47"/>
      <c r="AE69" s="47"/>
    </row>
    <row r="70" s="119" customFormat="true" ht="11.25" hidden="false" customHeight="true" outlineLevel="0" collapsed="false">
      <c r="A70" s="589"/>
      <c r="B70" s="47"/>
      <c r="C70" s="47"/>
      <c r="K70" s="45"/>
      <c r="L70" s="47"/>
      <c r="M70" s="47"/>
      <c r="N70" s="45"/>
      <c r="O70" s="45"/>
      <c r="P70" s="45"/>
      <c r="Q70" s="45"/>
      <c r="R70" s="47"/>
      <c r="S70" s="45"/>
      <c r="T70" s="45"/>
      <c r="U70" s="590"/>
      <c r="V70" s="45"/>
      <c r="W70" s="45"/>
      <c r="X70" s="45"/>
      <c r="Y70" s="45"/>
      <c r="Z70" s="45"/>
      <c r="AA70" s="45"/>
      <c r="AB70" s="47"/>
      <c r="AC70" s="47"/>
      <c r="AD70" s="47"/>
      <c r="AE70" s="47"/>
    </row>
    <row r="71" s="119" customFormat="true" ht="11.25" hidden="false" customHeight="true" outlineLevel="0" collapsed="false">
      <c r="A71" s="589"/>
      <c r="B71" s="47"/>
      <c r="C71" s="47"/>
      <c r="K71" s="45"/>
      <c r="L71" s="47"/>
      <c r="M71" s="47"/>
      <c r="N71" s="45"/>
      <c r="O71" s="45"/>
      <c r="P71" s="45"/>
      <c r="Q71" s="45"/>
      <c r="R71" s="47"/>
      <c r="S71" s="45"/>
      <c r="T71" s="45"/>
      <c r="U71" s="590"/>
      <c r="V71" s="45"/>
      <c r="W71" s="45"/>
      <c r="X71" s="45"/>
      <c r="Y71" s="45"/>
      <c r="Z71" s="45"/>
      <c r="AA71" s="45"/>
      <c r="AB71" s="47"/>
      <c r="AC71" s="47"/>
      <c r="AD71" s="47"/>
      <c r="AE71" s="47"/>
    </row>
    <row r="72" s="119" customFormat="true" ht="11.25" hidden="false" customHeight="true" outlineLevel="0" collapsed="false">
      <c r="A72" s="589"/>
      <c r="B72" s="47"/>
      <c r="C72" s="47"/>
      <c r="K72" s="45"/>
      <c r="L72" s="47"/>
      <c r="M72" s="47"/>
      <c r="N72" s="45"/>
      <c r="O72" s="45"/>
      <c r="P72" s="45"/>
      <c r="Q72" s="45"/>
      <c r="R72" s="47"/>
      <c r="S72" s="45"/>
      <c r="T72" s="45"/>
      <c r="U72" s="590"/>
      <c r="V72" s="45"/>
      <c r="W72" s="45"/>
      <c r="X72" s="45"/>
      <c r="Y72" s="45"/>
      <c r="Z72" s="45"/>
      <c r="AA72" s="45"/>
      <c r="AB72" s="47"/>
      <c r="AC72" s="47"/>
      <c r="AD72" s="47"/>
      <c r="AE72" s="47"/>
    </row>
    <row r="73" s="119" customFormat="true" ht="11.25" hidden="false" customHeight="true" outlineLevel="0" collapsed="false">
      <c r="A73" s="589"/>
      <c r="B73" s="47"/>
      <c r="C73" s="47"/>
      <c r="K73" s="45"/>
      <c r="L73" s="47"/>
      <c r="M73" s="47"/>
      <c r="N73" s="45"/>
      <c r="O73" s="45"/>
      <c r="P73" s="45"/>
      <c r="Q73" s="45"/>
      <c r="R73" s="47"/>
      <c r="S73" s="45"/>
      <c r="T73" s="45"/>
      <c r="U73" s="590"/>
      <c r="V73" s="45"/>
      <c r="W73" s="45"/>
      <c r="X73" s="45"/>
      <c r="Y73" s="45"/>
      <c r="Z73" s="45"/>
      <c r="AA73" s="45"/>
      <c r="AB73" s="47"/>
      <c r="AC73" s="47"/>
      <c r="AD73" s="47"/>
      <c r="AE73" s="47"/>
    </row>
    <row r="74" s="119" customFormat="true" ht="11.25" hidden="false" customHeight="true" outlineLevel="0" collapsed="false">
      <c r="A74" s="589"/>
      <c r="B74" s="47"/>
      <c r="C74" s="47"/>
      <c r="K74" s="45"/>
      <c r="L74" s="47"/>
      <c r="M74" s="47"/>
      <c r="N74" s="45"/>
      <c r="O74" s="45"/>
      <c r="P74" s="45"/>
      <c r="Q74" s="45"/>
      <c r="R74" s="47"/>
      <c r="S74" s="45"/>
      <c r="T74" s="45"/>
      <c r="U74" s="590"/>
      <c r="V74" s="45"/>
      <c r="W74" s="45"/>
      <c r="X74" s="45"/>
      <c r="Y74" s="45"/>
      <c r="Z74" s="45"/>
      <c r="AA74" s="45"/>
      <c r="AB74" s="47"/>
      <c r="AC74" s="47"/>
      <c r="AD74" s="47"/>
      <c r="AE74" s="47"/>
    </row>
    <row r="75" s="119" customFormat="true" ht="11.25" hidden="false" customHeight="true" outlineLevel="0" collapsed="false">
      <c r="A75" s="589"/>
      <c r="B75" s="47"/>
      <c r="C75" s="47"/>
      <c r="K75" s="45"/>
      <c r="L75" s="47"/>
      <c r="M75" s="47"/>
      <c r="N75" s="45"/>
      <c r="O75" s="45"/>
      <c r="P75" s="45"/>
      <c r="Q75" s="45"/>
      <c r="R75" s="47"/>
      <c r="S75" s="45"/>
      <c r="T75" s="45"/>
      <c r="U75" s="590"/>
      <c r="V75" s="45"/>
      <c r="W75" s="45"/>
      <c r="X75" s="45"/>
      <c r="Y75" s="45"/>
      <c r="Z75" s="45"/>
      <c r="AA75" s="45"/>
      <c r="AB75" s="47"/>
      <c r="AC75" s="47"/>
      <c r="AD75" s="47"/>
      <c r="AE75" s="47"/>
    </row>
    <row r="76" s="119" customFormat="true" ht="11.25" hidden="false" customHeight="true" outlineLevel="0" collapsed="false">
      <c r="A76" s="589"/>
      <c r="B76" s="47"/>
      <c r="C76" s="47"/>
      <c r="K76" s="45"/>
      <c r="L76" s="47"/>
      <c r="M76" s="47"/>
      <c r="N76" s="45"/>
      <c r="O76" s="45"/>
      <c r="P76" s="45"/>
      <c r="Q76" s="45"/>
      <c r="R76" s="47"/>
      <c r="S76" s="45"/>
      <c r="T76" s="45"/>
      <c r="U76" s="590"/>
      <c r="V76" s="45"/>
      <c r="W76" s="45"/>
      <c r="X76" s="45"/>
      <c r="Y76" s="45"/>
      <c r="Z76" s="45"/>
      <c r="AA76" s="45"/>
      <c r="AB76" s="47"/>
      <c r="AC76" s="47"/>
      <c r="AD76" s="47"/>
      <c r="AE76" s="47"/>
    </row>
    <row r="77" s="119" customFormat="true" ht="11.25" hidden="false" customHeight="true" outlineLevel="0" collapsed="false">
      <c r="A77" s="589"/>
      <c r="B77" s="47"/>
      <c r="C77" s="47"/>
      <c r="K77" s="45"/>
      <c r="L77" s="47"/>
      <c r="M77" s="47"/>
      <c r="N77" s="45"/>
      <c r="O77" s="45"/>
      <c r="P77" s="45"/>
      <c r="Q77" s="45"/>
      <c r="R77" s="47"/>
      <c r="S77" s="45"/>
      <c r="T77" s="45"/>
      <c r="U77" s="590"/>
      <c r="V77" s="45"/>
      <c r="W77" s="45"/>
      <c r="X77" s="45"/>
      <c r="Y77" s="45"/>
      <c r="Z77" s="45"/>
      <c r="AA77" s="45"/>
      <c r="AB77" s="47"/>
      <c r="AC77" s="47"/>
      <c r="AD77" s="47"/>
      <c r="AE77" s="47"/>
    </row>
    <row r="78" s="119" customFormat="true" ht="11.25" hidden="false" customHeight="true" outlineLevel="0" collapsed="false">
      <c r="A78" s="589"/>
      <c r="B78" s="47"/>
      <c r="C78" s="47"/>
      <c r="K78" s="45"/>
      <c r="L78" s="47"/>
      <c r="M78" s="47"/>
      <c r="N78" s="45"/>
      <c r="O78" s="45"/>
      <c r="P78" s="45"/>
      <c r="Q78" s="45"/>
      <c r="R78" s="47"/>
      <c r="S78" s="45"/>
      <c r="T78" s="45"/>
      <c r="U78" s="590"/>
      <c r="V78" s="45"/>
      <c r="W78" s="45"/>
      <c r="X78" s="45"/>
      <c r="Y78" s="45"/>
      <c r="Z78" s="45"/>
      <c r="AA78" s="45"/>
      <c r="AB78" s="47"/>
      <c r="AC78" s="47"/>
      <c r="AD78" s="47"/>
      <c r="AE78" s="47"/>
    </row>
    <row r="79" s="119" customFormat="true" ht="11.25" hidden="false" customHeight="true" outlineLevel="0" collapsed="false">
      <c r="A79" s="589"/>
      <c r="B79" s="47"/>
      <c r="C79" s="47"/>
      <c r="K79" s="45"/>
      <c r="L79" s="47"/>
      <c r="M79" s="47"/>
      <c r="N79" s="45"/>
      <c r="O79" s="45"/>
      <c r="P79" s="45"/>
      <c r="Q79" s="45"/>
      <c r="R79" s="47"/>
      <c r="S79" s="45"/>
      <c r="T79" s="45"/>
      <c r="U79" s="590"/>
      <c r="V79" s="45"/>
      <c r="W79" s="45"/>
      <c r="X79" s="45"/>
      <c r="Y79" s="45"/>
      <c r="Z79" s="45"/>
      <c r="AA79" s="45"/>
      <c r="AB79" s="47"/>
      <c r="AC79" s="47"/>
      <c r="AD79" s="47"/>
      <c r="AE79" s="47"/>
    </row>
    <row r="80" s="119" customFormat="true" ht="11.25" hidden="false" customHeight="true" outlineLevel="0" collapsed="false">
      <c r="A80" s="589"/>
      <c r="B80" s="47"/>
      <c r="C80" s="47"/>
      <c r="K80" s="45"/>
      <c r="L80" s="47"/>
      <c r="M80" s="47"/>
      <c r="N80" s="45"/>
      <c r="O80" s="45"/>
      <c r="P80" s="45"/>
      <c r="Q80" s="45"/>
      <c r="R80" s="47"/>
      <c r="S80" s="45"/>
      <c r="T80" s="45"/>
      <c r="U80" s="590"/>
      <c r="V80" s="45"/>
      <c r="W80" s="45"/>
      <c r="X80" s="45"/>
      <c r="Y80" s="45"/>
      <c r="Z80" s="45"/>
      <c r="AA80" s="45"/>
      <c r="AB80" s="47"/>
      <c r="AC80" s="47"/>
      <c r="AD80" s="47"/>
      <c r="AE80" s="47"/>
    </row>
    <row r="81" s="119" customFormat="true" ht="11.25" hidden="false" customHeight="true" outlineLevel="0" collapsed="false">
      <c r="A81" s="589"/>
      <c r="B81" s="47"/>
      <c r="C81" s="47"/>
      <c r="K81" s="45"/>
      <c r="L81" s="47"/>
      <c r="M81" s="47"/>
      <c r="N81" s="45"/>
      <c r="O81" s="45"/>
      <c r="P81" s="45"/>
      <c r="Q81" s="45"/>
      <c r="R81" s="47"/>
      <c r="S81" s="45"/>
      <c r="T81" s="45"/>
      <c r="U81" s="590"/>
      <c r="V81" s="45"/>
      <c r="W81" s="45"/>
      <c r="X81" s="45"/>
      <c r="Y81" s="45"/>
      <c r="Z81" s="45"/>
      <c r="AA81" s="45"/>
      <c r="AB81" s="47"/>
      <c r="AC81" s="47"/>
      <c r="AD81" s="47"/>
      <c r="AE81" s="47"/>
    </row>
    <row r="82" s="119" customFormat="true" ht="11.25" hidden="false" customHeight="true" outlineLevel="0" collapsed="false">
      <c r="A82" s="589"/>
      <c r="B82" s="47"/>
      <c r="C82" s="47"/>
      <c r="K82" s="45"/>
      <c r="L82" s="47"/>
      <c r="M82" s="47"/>
      <c r="N82" s="45"/>
      <c r="O82" s="45"/>
      <c r="P82" s="45"/>
      <c r="Q82" s="45"/>
      <c r="R82" s="47"/>
      <c r="S82" s="45"/>
      <c r="T82" s="45"/>
      <c r="U82" s="590"/>
      <c r="V82" s="45"/>
      <c r="W82" s="45"/>
      <c r="X82" s="45"/>
      <c r="Y82" s="45"/>
      <c r="Z82" s="45"/>
      <c r="AA82" s="45"/>
      <c r="AB82" s="47"/>
      <c r="AC82" s="47"/>
      <c r="AD82" s="47"/>
      <c r="AE82" s="47"/>
    </row>
    <row r="83" s="119" customFormat="true" ht="11.25" hidden="false" customHeight="true" outlineLevel="0" collapsed="false">
      <c r="A83" s="589"/>
      <c r="B83" s="47"/>
      <c r="C83" s="47"/>
      <c r="K83" s="45"/>
      <c r="L83" s="47"/>
      <c r="M83" s="47"/>
      <c r="N83" s="45"/>
      <c r="O83" s="45"/>
      <c r="P83" s="45"/>
      <c r="Q83" s="45"/>
      <c r="R83" s="47"/>
      <c r="S83" s="45"/>
      <c r="T83" s="45"/>
      <c r="U83" s="590"/>
      <c r="V83" s="45"/>
      <c r="W83" s="45"/>
      <c r="X83" s="45"/>
      <c r="Y83" s="45"/>
      <c r="Z83" s="45"/>
      <c r="AA83" s="45"/>
      <c r="AB83" s="47"/>
      <c r="AC83" s="47"/>
      <c r="AD83" s="47"/>
      <c r="AE83" s="47"/>
    </row>
    <row r="84" s="119" customFormat="true" ht="11.25" hidden="false" customHeight="true" outlineLevel="0" collapsed="false">
      <c r="A84" s="589"/>
      <c r="B84" s="47"/>
      <c r="C84" s="47"/>
      <c r="K84" s="45"/>
      <c r="L84" s="47"/>
      <c r="M84" s="47"/>
      <c r="N84" s="45"/>
      <c r="O84" s="45"/>
      <c r="P84" s="45"/>
      <c r="Q84" s="45"/>
      <c r="R84" s="47"/>
      <c r="S84" s="45"/>
      <c r="T84" s="45"/>
      <c r="U84" s="590"/>
      <c r="V84" s="45"/>
      <c r="W84" s="45"/>
      <c r="X84" s="45"/>
      <c r="Y84" s="45"/>
      <c r="Z84" s="45"/>
      <c r="AA84" s="45"/>
      <c r="AB84" s="47"/>
      <c r="AC84" s="47"/>
      <c r="AD84" s="47"/>
      <c r="AE84" s="47"/>
    </row>
    <row r="85" s="119" customFormat="true" ht="11.25" hidden="false" customHeight="true" outlineLevel="0" collapsed="false">
      <c r="A85" s="589"/>
      <c r="B85" s="47"/>
      <c r="C85" s="47"/>
      <c r="K85" s="45"/>
      <c r="L85" s="47"/>
      <c r="M85" s="47"/>
      <c r="N85" s="45"/>
      <c r="O85" s="45"/>
      <c r="P85" s="45"/>
      <c r="Q85" s="45"/>
      <c r="R85" s="47"/>
      <c r="S85" s="45"/>
      <c r="T85" s="45"/>
      <c r="U85" s="590"/>
      <c r="V85" s="45"/>
      <c r="W85" s="45"/>
      <c r="X85" s="45"/>
      <c r="Y85" s="45"/>
      <c r="Z85" s="45"/>
      <c r="AA85" s="45"/>
      <c r="AB85" s="47"/>
      <c r="AC85" s="47"/>
      <c r="AD85" s="47"/>
      <c r="AE85" s="47"/>
    </row>
    <row r="86" s="119" customFormat="true" ht="11.25" hidden="false" customHeight="true" outlineLevel="0" collapsed="false">
      <c r="A86" s="589"/>
      <c r="B86" s="47"/>
      <c r="C86" s="47"/>
      <c r="K86" s="45"/>
      <c r="L86" s="47"/>
      <c r="M86" s="47"/>
      <c r="N86" s="45"/>
      <c r="O86" s="45"/>
      <c r="P86" s="45"/>
      <c r="Q86" s="45"/>
      <c r="R86" s="47"/>
      <c r="S86" s="45"/>
      <c r="T86" s="45"/>
      <c r="U86" s="590"/>
      <c r="V86" s="45"/>
      <c r="W86" s="45"/>
      <c r="X86" s="45"/>
      <c r="Y86" s="45"/>
      <c r="Z86" s="45"/>
      <c r="AA86" s="45"/>
      <c r="AB86" s="47"/>
      <c r="AC86" s="47"/>
      <c r="AD86" s="47"/>
      <c r="AE86" s="47"/>
    </row>
    <row r="87" s="119" customFormat="true" ht="11.25" hidden="false" customHeight="true" outlineLevel="0" collapsed="false">
      <c r="A87" s="589"/>
      <c r="B87" s="47"/>
      <c r="C87" s="47"/>
      <c r="K87" s="45"/>
      <c r="L87" s="47"/>
      <c r="M87" s="47"/>
      <c r="N87" s="45"/>
      <c r="O87" s="45"/>
      <c r="P87" s="45"/>
      <c r="Q87" s="45"/>
      <c r="R87" s="47"/>
      <c r="S87" s="45"/>
      <c r="T87" s="45"/>
      <c r="U87" s="590"/>
      <c r="V87" s="45"/>
      <c r="W87" s="45"/>
      <c r="X87" s="45"/>
      <c r="Y87" s="45"/>
      <c r="Z87" s="45"/>
      <c r="AA87" s="45"/>
      <c r="AB87" s="47"/>
      <c r="AC87" s="47"/>
      <c r="AD87" s="47"/>
      <c r="AE87" s="47"/>
    </row>
    <row r="88" s="119" customFormat="true" ht="11.25" hidden="false" customHeight="true" outlineLevel="0" collapsed="false">
      <c r="A88" s="589"/>
      <c r="B88" s="47"/>
      <c r="C88" s="47"/>
      <c r="K88" s="45"/>
      <c r="L88" s="47"/>
      <c r="M88" s="47"/>
      <c r="N88" s="45"/>
      <c r="O88" s="45"/>
      <c r="P88" s="45"/>
      <c r="Q88" s="45"/>
      <c r="R88" s="47"/>
      <c r="S88" s="45"/>
      <c r="T88" s="45"/>
      <c r="U88" s="590"/>
      <c r="V88" s="45"/>
      <c r="W88" s="45"/>
      <c r="X88" s="45"/>
      <c r="Y88" s="45"/>
      <c r="Z88" s="45"/>
      <c r="AA88" s="45"/>
      <c r="AB88" s="47"/>
      <c r="AC88" s="47"/>
      <c r="AD88" s="47"/>
      <c r="AE88" s="47"/>
    </row>
    <row r="89" s="119" customFormat="true" ht="11.25" hidden="false" customHeight="true" outlineLevel="0" collapsed="false">
      <c r="A89" s="589"/>
      <c r="B89" s="47"/>
      <c r="C89" s="47"/>
      <c r="K89" s="45"/>
      <c r="L89" s="47"/>
      <c r="M89" s="47"/>
      <c r="N89" s="45"/>
      <c r="O89" s="45"/>
      <c r="P89" s="45"/>
      <c r="Q89" s="45"/>
      <c r="R89" s="47"/>
      <c r="S89" s="45"/>
      <c r="T89" s="45"/>
      <c r="U89" s="590"/>
      <c r="V89" s="45"/>
      <c r="W89" s="45"/>
      <c r="X89" s="45"/>
      <c r="Y89" s="45"/>
      <c r="Z89" s="45"/>
      <c r="AA89" s="45"/>
      <c r="AB89" s="47"/>
      <c r="AC89" s="47"/>
      <c r="AD89" s="47"/>
      <c r="AE89" s="47"/>
    </row>
    <row r="90" s="119" customFormat="true" ht="11.25" hidden="false" customHeight="true" outlineLevel="0" collapsed="false">
      <c r="A90" s="589"/>
      <c r="B90" s="47"/>
      <c r="C90" s="47"/>
      <c r="K90" s="45"/>
      <c r="L90" s="47"/>
      <c r="M90" s="47"/>
      <c r="N90" s="45"/>
      <c r="O90" s="45"/>
      <c r="P90" s="45"/>
      <c r="Q90" s="45"/>
      <c r="R90" s="47"/>
      <c r="S90" s="45"/>
      <c r="T90" s="45"/>
      <c r="U90" s="590"/>
      <c r="V90" s="45"/>
      <c r="W90" s="45"/>
      <c r="X90" s="45"/>
      <c r="Y90" s="45"/>
      <c r="Z90" s="45"/>
      <c r="AA90" s="45"/>
      <c r="AB90" s="47"/>
      <c r="AC90" s="47"/>
      <c r="AD90" s="47"/>
      <c r="AE90" s="47"/>
    </row>
    <row r="91" s="119" customFormat="true" ht="11.25" hidden="false" customHeight="true" outlineLevel="0" collapsed="false">
      <c r="A91" s="589"/>
      <c r="B91" s="47"/>
      <c r="C91" s="47"/>
      <c r="K91" s="45"/>
      <c r="L91" s="47"/>
      <c r="M91" s="47"/>
      <c r="N91" s="45"/>
      <c r="O91" s="45"/>
      <c r="P91" s="45"/>
      <c r="Q91" s="45"/>
      <c r="R91" s="47"/>
      <c r="S91" s="45"/>
      <c r="T91" s="45"/>
      <c r="U91" s="590"/>
      <c r="V91" s="45"/>
      <c r="W91" s="45"/>
      <c r="X91" s="45"/>
      <c r="Y91" s="45"/>
      <c r="Z91" s="45"/>
      <c r="AA91" s="45"/>
      <c r="AB91" s="47"/>
      <c r="AC91" s="47"/>
      <c r="AD91" s="47"/>
      <c r="AE91" s="47"/>
    </row>
    <row r="92" s="119" customFormat="true" ht="11.25" hidden="false" customHeight="true" outlineLevel="0" collapsed="false">
      <c r="A92" s="589"/>
      <c r="B92" s="47"/>
      <c r="C92" s="47"/>
      <c r="K92" s="45"/>
      <c r="L92" s="47"/>
      <c r="M92" s="47"/>
      <c r="N92" s="45"/>
      <c r="O92" s="45"/>
      <c r="P92" s="45"/>
      <c r="Q92" s="45"/>
      <c r="R92" s="47"/>
      <c r="S92" s="45"/>
      <c r="T92" s="45"/>
      <c r="U92" s="590"/>
      <c r="V92" s="45"/>
      <c r="W92" s="45"/>
      <c r="X92" s="45"/>
      <c r="Y92" s="45"/>
      <c r="Z92" s="45"/>
      <c r="AA92" s="45"/>
      <c r="AB92" s="47"/>
      <c r="AC92" s="47"/>
      <c r="AD92" s="47"/>
      <c r="AE92" s="47"/>
    </row>
    <row r="93" s="119" customFormat="true" ht="11.25" hidden="false" customHeight="true" outlineLevel="0" collapsed="false">
      <c r="A93" s="589"/>
      <c r="B93" s="47"/>
      <c r="C93" s="47"/>
      <c r="K93" s="45"/>
      <c r="L93" s="47"/>
      <c r="M93" s="47"/>
      <c r="N93" s="45"/>
      <c r="O93" s="45"/>
      <c r="P93" s="45"/>
      <c r="Q93" s="45"/>
      <c r="R93" s="47"/>
      <c r="S93" s="45"/>
      <c r="T93" s="45"/>
      <c r="U93" s="590"/>
      <c r="V93" s="45"/>
      <c r="W93" s="45"/>
      <c r="X93" s="45"/>
      <c r="Y93" s="45"/>
      <c r="Z93" s="45"/>
      <c r="AA93" s="45"/>
      <c r="AB93" s="47"/>
      <c r="AC93" s="47"/>
      <c r="AD93" s="47"/>
      <c r="AE93" s="47"/>
    </row>
    <row r="94" s="119" customFormat="true" ht="11.25" hidden="false" customHeight="true" outlineLevel="0" collapsed="false">
      <c r="A94" s="589"/>
      <c r="B94" s="47"/>
      <c r="C94" s="47"/>
      <c r="K94" s="45"/>
      <c r="L94" s="47"/>
      <c r="M94" s="47"/>
      <c r="N94" s="45"/>
      <c r="O94" s="45"/>
      <c r="P94" s="45"/>
      <c r="Q94" s="45"/>
      <c r="R94" s="47"/>
      <c r="S94" s="45"/>
      <c r="T94" s="45"/>
      <c r="U94" s="590"/>
      <c r="V94" s="45"/>
      <c r="W94" s="45"/>
      <c r="X94" s="45"/>
      <c r="Y94" s="45"/>
      <c r="Z94" s="45"/>
      <c r="AA94" s="45"/>
      <c r="AB94" s="47"/>
      <c r="AC94" s="47"/>
      <c r="AD94" s="47"/>
      <c r="AE94" s="47"/>
    </row>
    <row r="95" s="119" customFormat="true" ht="11.25" hidden="false" customHeight="true" outlineLevel="0" collapsed="false">
      <c r="A95" s="589"/>
      <c r="B95" s="47"/>
      <c r="C95" s="47"/>
      <c r="K95" s="45"/>
      <c r="L95" s="47"/>
      <c r="M95" s="47"/>
      <c r="N95" s="45"/>
      <c r="O95" s="45"/>
      <c r="P95" s="45"/>
      <c r="Q95" s="45"/>
      <c r="R95" s="47"/>
      <c r="S95" s="45"/>
      <c r="T95" s="45"/>
      <c r="U95" s="590"/>
      <c r="V95" s="45"/>
      <c r="W95" s="45"/>
      <c r="X95" s="45"/>
      <c r="Y95" s="45"/>
      <c r="Z95" s="45"/>
      <c r="AA95" s="45"/>
      <c r="AB95" s="47"/>
      <c r="AC95" s="47"/>
      <c r="AD95" s="47"/>
      <c r="AE95" s="47"/>
    </row>
    <row r="96" s="119" customFormat="true" ht="11.25" hidden="false" customHeight="true" outlineLevel="0" collapsed="false">
      <c r="A96" s="589"/>
      <c r="B96" s="47"/>
      <c r="C96" s="47"/>
      <c r="K96" s="45"/>
      <c r="L96" s="47"/>
      <c r="M96" s="47"/>
      <c r="N96" s="45"/>
      <c r="O96" s="45"/>
      <c r="P96" s="45"/>
      <c r="Q96" s="45"/>
      <c r="R96" s="47"/>
      <c r="S96" s="45"/>
      <c r="T96" s="45"/>
      <c r="U96" s="590"/>
      <c r="V96" s="45"/>
      <c r="W96" s="45"/>
      <c r="X96" s="45"/>
      <c r="Y96" s="45"/>
      <c r="Z96" s="45"/>
      <c r="AA96" s="45"/>
      <c r="AB96" s="47"/>
      <c r="AC96" s="47"/>
      <c r="AD96" s="47"/>
      <c r="AE96" s="47"/>
    </row>
    <row r="97" s="119" customFormat="true" ht="11.25" hidden="false" customHeight="true" outlineLevel="0" collapsed="false">
      <c r="A97" s="589"/>
      <c r="B97" s="47"/>
      <c r="C97" s="47"/>
      <c r="K97" s="45"/>
      <c r="L97" s="47"/>
      <c r="M97" s="47"/>
      <c r="N97" s="45"/>
      <c r="O97" s="45"/>
      <c r="P97" s="45"/>
      <c r="Q97" s="45"/>
      <c r="R97" s="47"/>
      <c r="S97" s="45"/>
      <c r="T97" s="45"/>
      <c r="U97" s="590"/>
      <c r="V97" s="45"/>
      <c r="W97" s="45"/>
      <c r="X97" s="45"/>
      <c r="Y97" s="45"/>
      <c r="Z97" s="45"/>
      <c r="AA97" s="45"/>
      <c r="AB97" s="47"/>
      <c r="AC97" s="47"/>
      <c r="AD97" s="47"/>
      <c r="AE97" s="47"/>
    </row>
    <row r="98" s="119" customFormat="true" ht="11.25" hidden="false" customHeight="true" outlineLevel="0" collapsed="false">
      <c r="A98" s="589"/>
      <c r="B98" s="47"/>
      <c r="C98" s="47"/>
      <c r="K98" s="45"/>
      <c r="L98" s="47"/>
      <c r="M98" s="47"/>
      <c r="N98" s="45"/>
      <c r="O98" s="45"/>
      <c r="P98" s="45"/>
      <c r="Q98" s="45"/>
      <c r="R98" s="47"/>
      <c r="S98" s="45"/>
      <c r="T98" s="45"/>
      <c r="U98" s="590"/>
      <c r="V98" s="45"/>
      <c r="W98" s="45"/>
      <c r="X98" s="45"/>
      <c r="Y98" s="45"/>
      <c r="Z98" s="45"/>
      <c r="AA98" s="45"/>
      <c r="AB98" s="47"/>
      <c r="AC98" s="47"/>
      <c r="AD98" s="47"/>
      <c r="AE98" s="47"/>
    </row>
    <row r="99" s="119" customFormat="true" ht="11.25" hidden="false" customHeight="true" outlineLevel="0" collapsed="false">
      <c r="A99" s="589"/>
      <c r="B99" s="47"/>
      <c r="C99" s="47"/>
      <c r="K99" s="45"/>
      <c r="L99" s="47"/>
      <c r="M99" s="47"/>
      <c r="N99" s="45"/>
      <c r="O99" s="45"/>
      <c r="P99" s="45"/>
      <c r="Q99" s="45"/>
      <c r="R99" s="47"/>
      <c r="S99" s="45"/>
      <c r="T99" s="45"/>
      <c r="U99" s="590"/>
      <c r="V99" s="45"/>
      <c r="W99" s="45"/>
      <c r="X99" s="45"/>
      <c r="Y99" s="45"/>
      <c r="Z99" s="45"/>
      <c r="AA99" s="45"/>
      <c r="AB99" s="47"/>
      <c r="AC99" s="47"/>
      <c r="AD99" s="47"/>
      <c r="AE99" s="47"/>
    </row>
    <row r="100" s="119" customFormat="true" ht="11.25" hidden="false" customHeight="true" outlineLevel="0" collapsed="false">
      <c r="A100" s="589"/>
      <c r="B100" s="47"/>
      <c r="C100" s="47"/>
      <c r="K100" s="45"/>
      <c r="L100" s="47"/>
      <c r="M100" s="47"/>
      <c r="N100" s="45"/>
      <c r="O100" s="45"/>
      <c r="P100" s="45"/>
      <c r="Q100" s="45"/>
      <c r="R100" s="47"/>
      <c r="S100" s="45"/>
      <c r="T100" s="45"/>
      <c r="U100" s="590"/>
      <c r="V100" s="45"/>
      <c r="W100" s="45"/>
      <c r="X100" s="45"/>
      <c r="Y100" s="45"/>
      <c r="Z100" s="45"/>
      <c r="AA100" s="45"/>
      <c r="AB100" s="47"/>
      <c r="AC100" s="47"/>
      <c r="AD100" s="47"/>
      <c r="AE100" s="47"/>
    </row>
    <row r="101" s="119" customFormat="true" ht="11.25" hidden="false" customHeight="true" outlineLevel="0" collapsed="false">
      <c r="A101" s="589"/>
      <c r="B101" s="47"/>
      <c r="C101" s="47"/>
      <c r="K101" s="45"/>
      <c r="L101" s="47"/>
      <c r="M101" s="47"/>
      <c r="N101" s="45"/>
      <c r="O101" s="45"/>
      <c r="P101" s="45"/>
      <c r="Q101" s="45"/>
      <c r="R101" s="47"/>
      <c r="S101" s="45"/>
      <c r="T101" s="45"/>
      <c r="U101" s="590"/>
      <c r="V101" s="45"/>
      <c r="W101" s="45"/>
      <c r="X101" s="45"/>
      <c r="Y101" s="45"/>
      <c r="Z101" s="45"/>
      <c r="AA101" s="45"/>
      <c r="AB101" s="47"/>
      <c r="AC101" s="47"/>
      <c r="AD101" s="47"/>
      <c r="AE101" s="47"/>
    </row>
    <row r="102" s="119" customFormat="true" ht="11.25" hidden="false" customHeight="true" outlineLevel="0" collapsed="false">
      <c r="A102" s="589"/>
      <c r="B102" s="47"/>
      <c r="C102" s="47"/>
      <c r="K102" s="45"/>
      <c r="L102" s="47"/>
      <c r="M102" s="47"/>
      <c r="N102" s="45"/>
      <c r="O102" s="45"/>
      <c r="P102" s="45"/>
      <c r="Q102" s="45"/>
      <c r="R102" s="47"/>
      <c r="S102" s="45"/>
      <c r="T102" s="45"/>
      <c r="U102" s="590"/>
      <c r="V102" s="45"/>
      <c r="W102" s="45"/>
      <c r="X102" s="45"/>
      <c r="Y102" s="45"/>
      <c r="Z102" s="45"/>
      <c r="AA102" s="45"/>
      <c r="AB102" s="47"/>
      <c r="AC102" s="47"/>
      <c r="AD102" s="47"/>
      <c r="AE102" s="47"/>
    </row>
    <row r="103" s="119" customFormat="true" ht="11.25" hidden="false" customHeight="true" outlineLevel="0" collapsed="false">
      <c r="A103" s="589"/>
      <c r="B103" s="47"/>
      <c r="C103" s="47"/>
      <c r="K103" s="45"/>
      <c r="L103" s="47"/>
      <c r="M103" s="47"/>
      <c r="N103" s="45"/>
      <c r="O103" s="45"/>
      <c r="P103" s="45"/>
      <c r="Q103" s="45"/>
      <c r="R103" s="47"/>
      <c r="S103" s="45"/>
      <c r="T103" s="45"/>
      <c r="U103" s="590"/>
      <c r="V103" s="45"/>
      <c r="W103" s="45"/>
      <c r="X103" s="45"/>
      <c r="Y103" s="45"/>
      <c r="Z103" s="45"/>
      <c r="AA103" s="45"/>
      <c r="AB103" s="47"/>
      <c r="AC103" s="47"/>
      <c r="AD103" s="47"/>
      <c r="AE103" s="47"/>
    </row>
    <row r="104" s="119" customFormat="true" ht="11.25" hidden="false" customHeight="true" outlineLevel="0" collapsed="false">
      <c r="A104" s="589"/>
      <c r="B104" s="47"/>
      <c r="C104" s="47"/>
      <c r="K104" s="45"/>
      <c r="L104" s="47"/>
      <c r="M104" s="47"/>
      <c r="N104" s="45"/>
      <c r="O104" s="45"/>
      <c r="P104" s="45"/>
      <c r="Q104" s="45"/>
      <c r="R104" s="47"/>
      <c r="S104" s="45"/>
      <c r="T104" s="45"/>
      <c r="U104" s="590"/>
      <c r="V104" s="45"/>
      <c r="W104" s="45"/>
      <c r="X104" s="45"/>
      <c r="Y104" s="45"/>
      <c r="Z104" s="45"/>
      <c r="AA104" s="45"/>
      <c r="AB104" s="47"/>
      <c r="AC104" s="47"/>
      <c r="AD104" s="47"/>
      <c r="AE104" s="47"/>
    </row>
    <row r="105" s="119" customFormat="true" ht="11.25" hidden="false" customHeight="true" outlineLevel="0" collapsed="false">
      <c r="A105" s="589"/>
      <c r="B105" s="47"/>
      <c r="C105" s="47"/>
      <c r="K105" s="45"/>
      <c r="L105" s="47"/>
      <c r="M105" s="47"/>
      <c r="N105" s="45"/>
      <c r="O105" s="45"/>
      <c r="P105" s="45"/>
      <c r="Q105" s="45"/>
      <c r="R105" s="47"/>
      <c r="S105" s="45"/>
      <c r="T105" s="45"/>
      <c r="U105" s="590"/>
      <c r="V105" s="45"/>
      <c r="W105" s="45"/>
      <c r="X105" s="45"/>
      <c r="Y105" s="45"/>
      <c r="Z105" s="45"/>
      <c r="AA105" s="45"/>
      <c r="AB105" s="47"/>
      <c r="AC105" s="47"/>
      <c r="AD105" s="47"/>
      <c r="AE105" s="47"/>
    </row>
    <row r="106" s="119" customFormat="true" ht="11.25" hidden="false" customHeight="true" outlineLevel="0" collapsed="false">
      <c r="A106" s="589"/>
      <c r="B106" s="47"/>
      <c r="C106" s="47"/>
      <c r="K106" s="45"/>
      <c r="L106" s="47"/>
      <c r="M106" s="47"/>
      <c r="N106" s="45"/>
      <c r="O106" s="45"/>
      <c r="P106" s="45"/>
      <c r="Q106" s="45"/>
      <c r="R106" s="47"/>
      <c r="S106" s="45"/>
      <c r="T106" s="45"/>
      <c r="U106" s="590"/>
      <c r="V106" s="45"/>
      <c r="W106" s="45"/>
      <c r="X106" s="45"/>
      <c r="Y106" s="45"/>
      <c r="Z106" s="45"/>
      <c r="AA106" s="45"/>
      <c r="AB106" s="47"/>
      <c r="AC106" s="47"/>
      <c r="AD106" s="47"/>
      <c r="AE106" s="47"/>
    </row>
    <row r="107" s="119" customFormat="true" ht="11.25" hidden="false" customHeight="true" outlineLevel="0" collapsed="false">
      <c r="A107" s="589"/>
      <c r="B107" s="47"/>
      <c r="C107" s="47"/>
      <c r="K107" s="45"/>
      <c r="L107" s="47"/>
      <c r="M107" s="47"/>
      <c r="N107" s="45"/>
      <c r="O107" s="45"/>
      <c r="P107" s="45"/>
      <c r="Q107" s="45"/>
      <c r="R107" s="47"/>
      <c r="S107" s="45"/>
      <c r="T107" s="45"/>
      <c r="U107" s="590"/>
      <c r="V107" s="45"/>
      <c r="W107" s="45"/>
      <c r="X107" s="45"/>
      <c r="Y107" s="45"/>
      <c r="Z107" s="45"/>
      <c r="AA107" s="45"/>
      <c r="AB107" s="47"/>
      <c r="AC107" s="47"/>
      <c r="AD107" s="47"/>
      <c r="AE107" s="47"/>
    </row>
    <row r="108" s="119" customFormat="true" ht="11.25" hidden="false" customHeight="true" outlineLevel="0" collapsed="false">
      <c r="A108" s="589"/>
      <c r="B108" s="47"/>
      <c r="C108" s="47"/>
      <c r="K108" s="45"/>
      <c r="L108" s="47"/>
      <c r="M108" s="47"/>
      <c r="N108" s="45"/>
      <c r="O108" s="45"/>
      <c r="P108" s="45"/>
      <c r="Q108" s="45"/>
      <c r="R108" s="47"/>
      <c r="S108" s="45"/>
      <c r="T108" s="45"/>
      <c r="U108" s="590"/>
      <c r="V108" s="45"/>
      <c r="W108" s="45"/>
      <c r="X108" s="45"/>
      <c r="Y108" s="45"/>
      <c r="Z108" s="45"/>
      <c r="AA108" s="45"/>
      <c r="AB108" s="47"/>
      <c r="AC108" s="47"/>
      <c r="AD108" s="47"/>
      <c r="AE108" s="47"/>
    </row>
    <row r="109" s="119" customFormat="true" ht="11.25" hidden="false" customHeight="true" outlineLevel="0" collapsed="false">
      <c r="A109" s="589"/>
      <c r="B109" s="47"/>
      <c r="C109" s="47"/>
      <c r="K109" s="45"/>
      <c r="L109" s="47"/>
      <c r="M109" s="47"/>
      <c r="N109" s="45"/>
      <c r="O109" s="45"/>
      <c r="P109" s="45"/>
      <c r="Q109" s="45"/>
      <c r="R109" s="47"/>
      <c r="S109" s="45"/>
      <c r="T109" s="45"/>
      <c r="U109" s="590"/>
      <c r="V109" s="45"/>
      <c r="W109" s="45"/>
      <c r="X109" s="45"/>
      <c r="Y109" s="45"/>
      <c r="Z109" s="45"/>
      <c r="AA109" s="45"/>
      <c r="AB109" s="47"/>
      <c r="AC109" s="47"/>
      <c r="AD109" s="47"/>
      <c r="AE109" s="47"/>
    </row>
    <row r="110" s="119" customFormat="true" ht="11.25" hidden="false" customHeight="true" outlineLevel="0" collapsed="false">
      <c r="A110" s="589"/>
      <c r="B110" s="47"/>
      <c r="C110" s="47"/>
      <c r="K110" s="45"/>
      <c r="L110" s="47"/>
      <c r="M110" s="47"/>
      <c r="N110" s="45"/>
      <c r="O110" s="45"/>
      <c r="P110" s="45"/>
      <c r="Q110" s="45"/>
      <c r="R110" s="47"/>
      <c r="S110" s="45"/>
      <c r="T110" s="45"/>
      <c r="U110" s="590"/>
      <c r="V110" s="45"/>
      <c r="W110" s="45"/>
      <c r="X110" s="45"/>
      <c r="Y110" s="45"/>
      <c r="Z110" s="45"/>
      <c r="AA110" s="45"/>
      <c r="AB110" s="47"/>
      <c r="AC110" s="47"/>
      <c r="AD110" s="47"/>
      <c r="AE110" s="47"/>
    </row>
    <row r="111" s="119" customFormat="true" ht="11.25" hidden="false" customHeight="true" outlineLevel="0" collapsed="false">
      <c r="A111" s="589"/>
      <c r="B111" s="47"/>
      <c r="C111" s="47"/>
      <c r="K111" s="45"/>
      <c r="L111" s="47"/>
      <c r="M111" s="47"/>
      <c r="N111" s="45"/>
      <c r="O111" s="45"/>
      <c r="P111" s="45"/>
      <c r="Q111" s="45"/>
      <c r="R111" s="47"/>
      <c r="S111" s="45"/>
      <c r="T111" s="45"/>
      <c r="U111" s="590"/>
      <c r="V111" s="45"/>
      <c r="W111" s="45"/>
      <c r="X111" s="45"/>
      <c r="Y111" s="45"/>
      <c r="Z111" s="45"/>
      <c r="AA111" s="45"/>
      <c r="AB111" s="47"/>
      <c r="AC111" s="47"/>
      <c r="AD111" s="47"/>
      <c r="AE111" s="47"/>
    </row>
    <row r="112" s="119" customFormat="true" ht="11.25" hidden="false" customHeight="true" outlineLevel="0" collapsed="false">
      <c r="A112" s="589"/>
      <c r="B112" s="47"/>
      <c r="C112" s="47"/>
      <c r="K112" s="45"/>
      <c r="L112" s="47"/>
      <c r="M112" s="47"/>
      <c r="N112" s="45"/>
      <c r="O112" s="45"/>
      <c r="P112" s="45"/>
      <c r="Q112" s="45"/>
      <c r="R112" s="47"/>
      <c r="S112" s="45"/>
      <c r="T112" s="45"/>
      <c r="U112" s="590"/>
      <c r="V112" s="45"/>
      <c r="W112" s="45"/>
      <c r="X112" s="45"/>
      <c r="Y112" s="45"/>
      <c r="Z112" s="45"/>
      <c r="AA112" s="45"/>
      <c r="AB112" s="47"/>
      <c r="AC112" s="47"/>
      <c r="AD112" s="47"/>
      <c r="AE112" s="47"/>
    </row>
    <row r="113" s="119" customFormat="true" ht="11.25" hidden="false" customHeight="true" outlineLevel="0" collapsed="false">
      <c r="A113" s="589"/>
      <c r="B113" s="47"/>
      <c r="C113" s="47"/>
      <c r="K113" s="45"/>
      <c r="L113" s="47"/>
      <c r="M113" s="47"/>
      <c r="N113" s="45"/>
      <c r="O113" s="45"/>
      <c r="P113" s="45"/>
      <c r="Q113" s="45"/>
      <c r="R113" s="47"/>
      <c r="S113" s="45"/>
      <c r="T113" s="45"/>
      <c r="U113" s="590"/>
      <c r="V113" s="45"/>
      <c r="W113" s="45"/>
      <c r="X113" s="45"/>
      <c r="Y113" s="45"/>
      <c r="Z113" s="45"/>
      <c r="AA113" s="45"/>
      <c r="AB113" s="47"/>
      <c r="AC113" s="47"/>
      <c r="AD113" s="47"/>
      <c r="AE113" s="47"/>
    </row>
    <row r="114" s="119" customFormat="true" ht="11.25" hidden="false" customHeight="true" outlineLevel="0" collapsed="false">
      <c r="A114" s="589"/>
      <c r="B114" s="47"/>
      <c r="C114" s="47"/>
      <c r="K114" s="45"/>
      <c r="L114" s="47"/>
      <c r="M114" s="47"/>
      <c r="N114" s="45"/>
      <c r="O114" s="45"/>
      <c r="P114" s="45"/>
      <c r="Q114" s="45"/>
      <c r="R114" s="47"/>
      <c r="S114" s="45"/>
      <c r="T114" s="45"/>
      <c r="U114" s="590"/>
      <c r="V114" s="45"/>
      <c r="W114" s="45"/>
      <c r="X114" s="45"/>
      <c r="Y114" s="45"/>
      <c r="Z114" s="45"/>
      <c r="AA114" s="45"/>
      <c r="AB114" s="47"/>
      <c r="AC114" s="47"/>
      <c r="AD114" s="47"/>
      <c r="AE114" s="47"/>
    </row>
    <row r="115" s="119" customFormat="true" ht="11.25" hidden="false" customHeight="true" outlineLevel="0" collapsed="false">
      <c r="A115" s="589"/>
      <c r="B115" s="47"/>
      <c r="C115" s="47"/>
      <c r="K115" s="45"/>
      <c r="L115" s="47"/>
      <c r="M115" s="47"/>
      <c r="N115" s="45"/>
      <c r="O115" s="45"/>
      <c r="P115" s="45"/>
      <c r="Q115" s="45"/>
      <c r="R115" s="47"/>
      <c r="S115" s="45"/>
      <c r="T115" s="45"/>
      <c r="U115" s="590"/>
      <c r="V115" s="45"/>
      <c r="W115" s="45"/>
      <c r="X115" s="45"/>
      <c r="Y115" s="45"/>
      <c r="Z115" s="45"/>
      <c r="AA115" s="45"/>
      <c r="AB115" s="47"/>
      <c r="AC115" s="47"/>
      <c r="AD115" s="47"/>
      <c r="AE115" s="47"/>
    </row>
    <row r="116" s="119" customFormat="true" ht="11.25" hidden="false" customHeight="true" outlineLevel="0" collapsed="false">
      <c r="A116" s="589"/>
      <c r="B116" s="47"/>
      <c r="C116" s="47"/>
      <c r="K116" s="45"/>
      <c r="L116" s="47"/>
      <c r="M116" s="47"/>
      <c r="N116" s="45"/>
      <c r="O116" s="45"/>
      <c r="P116" s="45"/>
      <c r="Q116" s="45"/>
      <c r="R116" s="47"/>
      <c r="S116" s="45"/>
      <c r="T116" s="45"/>
      <c r="U116" s="590"/>
      <c r="V116" s="45"/>
      <c r="W116" s="45"/>
      <c r="X116" s="45"/>
      <c r="Y116" s="45"/>
      <c r="Z116" s="45"/>
      <c r="AA116" s="45"/>
      <c r="AB116" s="47"/>
      <c r="AC116" s="47"/>
      <c r="AD116" s="47"/>
      <c r="AE116" s="47"/>
    </row>
    <row r="117" s="119" customFormat="true" ht="11.25" hidden="false" customHeight="true" outlineLevel="0" collapsed="false">
      <c r="A117" s="589"/>
      <c r="B117" s="47"/>
      <c r="C117" s="47"/>
      <c r="K117" s="45"/>
      <c r="L117" s="47"/>
      <c r="M117" s="47"/>
      <c r="N117" s="45"/>
      <c r="O117" s="45"/>
      <c r="P117" s="45"/>
      <c r="Q117" s="45"/>
      <c r="R117" s="47"/>
      <c r="S117" s="45"/>
      <c r="T117" s="45"/>
      <c r="U117" s="590"/>
      <c r="V117" s="45"/>
      <c r="W117" s="45"/>
      <c r="X117" s="45"/>
      <c r="Y117" s="45"/>
      <c r="Z117" s="45"/>
      <c r="AA117" s="45"/>
      <c r="AB117" s="47"/>
      <c r="AC117" s="47"/>
      <c r="AD117" s="47"/>
      <c r="AE117" s="47"/>
    </row>
    <row r="118" s="119" customFormat="true" ht="11.25" hidden="false" customHeight="true" outlineLevel="0" collapsed="false">
      <c r="A118" s="589"/>
      <c r="B118" s="47"/>
      <c r="C118" s="47"/>
      <c r="K118" s="45"/>
      <c r="L118" s="47"/>
      <c r="M118" s="47"/>
      <c r="N118" s="45"/>
      <c r="O118" s="45"/>
      <c r="P118" s="45"/>
      <c r="Q118" s="45"/>
      <c r="R118" s="47"/>
      <c r="S118" s="45"/>
      <c r="T118" s="45"/>
      <c r="U118" s="590"/>
      <c r="V118" s="45"/>
      <c r="W118" s="45"/>
      <c r="X118" s="45"/>
      <c r="Y118" s="45"/>
      <c r="Z118" s="45"/>
      <c r="AA118" s="45"/>
      <c r="AB118" s="47"/>
      <c r="AC118" s="47"/>
      <c r="AD118" s="47"/>
      <c r="AE118" s="47"/>
    </row>
    <row r="119" s="119" customFormat="true" ht="11.25" hidden="false" customHeight="true" outlineLevel="0" collapsed="false">
      <c r="A119" s="589"/>
      <c r="B119" s="47"/>
      <c r="C119" s="47"/>
      <c r="K119" s="45"/>
      <c r="L119" s="47"/>
      <c r="M119" s="47"/>
      <c r="N119" s="45"/>
      <c r="O119" s="45"/>
      <c r="P119" s="45"/>
      <c r="Q119" s="45"/>
      <c r="R119" s="47"/>
      <c r="S119" s="45"/>
      <c r="T119" s="45"/>
      <c r="U119" s="590"/>
      <c r="V119" s="45"/>
      <c r="W119" s="45"/>
      <c r="X119" s="45"/>
      <c r="Y119" s="45"/>
      <c r="Z119" s="45"/>
      <c r="AA119" s="45"/>
      <c r="AB119" s="47"/>
      <c r="AC119" s="47"/>
      <c r="AD119" s="47"/>
      <c r="AE119" s="47"/>
    </row>
    <row r="120" s="119" customFormat="true" ht="11.25" hidden="false" customHeight="true" outlineLevel="0" collapsed="false">
      <c r="A120" s="589"/>
      <c r="B120" s="47"/>
      <c r="C120" s="47"/>
      <c r="K120" s="45"/>
      <c r="L120" s="47"/>
      <c r="M120" s="47"/>
      <c r="N120" s="45"/>
      <c r="O120" s="45"/>
      <c r="P120" s="45"/>
      <c r="Q120" s="45"/>
      <c r="R120" s="47"/>
      <c r="S120" s="45"/>
      <c r="T120" s="45"/>
      <c r="U120" s="590"/>
      <c r="V120" s="45"/>
      <c r="W120" s="45"/>
      <c r="X120" s="45"/>
      <c r="Y120" s="45"/>
      <c r="Z120" s="45"/>
      <c r="AA120" s="45"/>
      <c r="AB120" s="47"/>
      <c r="AC120" s="47"/>
      <c r="AD120" s="47"/>
      <c r="AE120" s="47"/>
    </row>
    <row r="121" s="119" customFormat="true" ht="11.25" hidden="false" customHeight="true" outlineLevel="0" collapsed="false">
      <c r="A121" s="589"/>
      <c r="B121" s="47"/>
      <c r="C121" s="47"/>
      <c r="K121" s="45"/>
      <c r="L121" s="47"/>
      <c r="M121" s="47"/>
      <c r="N121" s="45"/>
      <c r="O121" s="45"/>
      <c r="P121" s="45"/>
      <c r="Q121" s="45"/>
      <c r="R121" s="47"/>
      <c r="S121" s="45"/>
      <c r="T121" s="45"/>
      <c r="U121" s="590"/>
      <c r="V121" s="45"/>
      <c r="W121" s="45"/>
      <c r="X121" s="45"/>
      <c r="Y121" s="45"/>
      <c r="Z121" s="45"/>
      <c r="AA121" s="45"/>
      <c r="AB121" s="47"/>
      <c r="AC121" s="47"/>
      <c r="AD121" s="47"/>
      <c r="AE121" s="47"/>
    </row>
    <row r="122" s="119" customFormat="true" ht="11.25" hidden="false" customHeight="true" outlineLevel="0" collapsed="false">
      <c r="A122" s="589"/>
      <c r="B122" s="47"/>
      <c r="C122" s="47"/>
      <c r="K122" s="45"/>
      <c r="L122" s="47"/>
      <c r="M122" s="47"/>
      <c r="N122" s="45"/>
      <c r="O122" s="45"/>
      <c r="P122" s="45"/>
      <c r="Q122" s="45"/>
      <c r="R122" s="47"/>
      <c r="S122" s="45"/>
      <c r="T122" s="45"/>
      <c r="U122" s="590"/>
      <c r="V122" s="45"/>
      <c r="W122" s="45"/>
      <c r="X122" s="45"/>
      <c r="Y122" s="45"/>
      <c r="Z122" s="45"/>
      <c r="AA122" s="45"/>
      <c r="AB122" s="47"/>
      <c r="AC122" s="47"/>
      <c r="AD122" s="47"/>
      <c r="AE122" s="47"/>
    </row>
    <row r="123" s="119" customFormat="true" ht="11.25" hidden="false" customHeight="true" outlineLevel="0" collapsed="false">
      <c r="A123" s="589"/>
      <c r="B123" s="47"/>
      <c r="C123" s="47"/>
      <c r="K123" s="45"/>
      <c r="L123" s="47"/>
      <c r="M123" s="47"/>
      <c r="N123" s="45"/>
      <c r="O123" s="45"/>
      <c r="P123" s="45"/>
      <c r="Q123" s="45"/>
      <c r="R123" s="47"/>
      <c r="S123" s="45"/>
      <c r="T123" s="45"/>
      <c r="U123" s="590"/>
      <c r="V123" s="45"/>
      <c r="W123" s="45"/>
      <c r="X123" s="45"/>
      <c r="Y123" s="45"/>
      <c r="Z123" s="45"/>
      <c r="AA123" s="45"/>
      <c r="AB123" s="47"/>
      <c r="AC123" s="47"/>
      <c r="AD123" s="47"/>
      <c r="AE123" s="47"/>
    </row>
    <row r="124" s="119" customFormat="true" ht="11.25" hidden="false" customHeight="true" outlineLevel="0" collapsed="false">
      <c r="A124" s="589"/>
      <c r="B124" s="47"/>
      <c r="C124" s="47"/>
      <c r="K124" s="45"/>
      <c r="L124" s="47"/>
      <c r="M124" s="47"/>
      <c r="N124" s="45"/>
      <c r="O124" s="45"/>
      <c r="P124" s="45"/>
      <c r="Q124" s="45"/>
      <c r="R124" s="47"/>
      <c r="S124" s="45"/>
      <c r="T124" s="45"/>
      <c r="U124" s="590"/>
      <c r="V124" s="45"/>
      <c r="W124" s="45"/>
      <c r="X124" s="45"/>
      <c r="Y124" s="45"/>
      <c r="Z124" s="45"/>
      <c r="AA124" s="45"/>
      <c r="AB124" s="47"/>
      <c r="AC124" s="47"/>
      <c r="AD124" s="47"/>
      <c r="AE124" s="47"/>
    </row>
    <row r="125" s="119" customFormat="true" ht="11.25" hidden="false" customHeight="true" outlineLevel="0" collapsed="false">
      <c r="A125" s="589"/>
      <c r="B125" s="47"/>
      <c r="C125" s="47"/>
      <c r="K125" s="45"/>
      <c r="L125" s="47"/>
      <c r="M125" s="47"/>
      <c r="N125" s="45"/>
      <c r="O125" s="45"/>
      <c r="P125" s="45"/>
      <c r="Q125" s="45"/>
      <c r="R125" s="47"/>
      <c r="S125" s="45"/>
      <c r="T125" s="45"/>
      <c r="U125" s="590"/>
      <c r="V125" s="45"/>
      <c r="W125" s="45"/>
      <c r="X125" s="45"/>
      <c r="Y125" s="45"/>
      <c r="Z125" s="45"/>
      <c r="AA125" s="45"/>
      <c r="AB125" s="47"/>
      <c r="AC125" s="47"/>
      <c r="AD125" s="47"/>
      <c r="AE125" s="47"/>
    </row>
    <row r="126" s="119" customFormat="true" ht="11.25" hidden="false" customHeight="true" outlineLevel="0" collapsed="false">
      <c r="A126" s="589"/>
      <c r="B126" s="47"/>
      <c r="C126" s="47"/>
      <c r="K126" s="45"/>
      <c r="L126" s="47"/>
      <c r="M126" s="47"/>
      <c r="N126" s="45"/>
      <c r="O126" s="45"/>
      <c r="P126" s="45"/>
      <c r="Q126" s="45"/>
      <c r="R126" s="47"/>
      <c r="S126" s="45"/>
      <c r="T126" s="45"/>
      <c r="U126" s="590"/>
      <c r="V126" s="45"/>
      <c r="W126" s="45"/>
      <c r="X126" s="45"/>
      <c r="Y126" s="45"/>
      <c r="Z126" s="45"/>
      <c r="AA126" s="45"/>
      <c r="AB126" s="47"/>
      <c r="AC126" s="47"/>
      <c r="AD126" s="47"/>
      <c r="AE126" s="47"/>
    </row>
    <row r="127" s="119" customFormat="true" ht="11.25" hidden="false" customHeight="true" outlineLevel="0" collapsed="false">
      <c r="A127" s="589"/>
      <c r="B127" s="47"/>
      <c r="C127" s="47"/>
      <c r="K127" s="45"/>
      <c r="L127" s="47"/>
      <c r="M127" s="47"/>
      <c r="N127" s="45"/>
      <c r="O127" s="45"/>
      <c r="P127" s="45"/>
      <c r="Q127" s="45"/>
      <c r="R127" s="47"/>
      <c r="S127" s="45"/>
      <c r="T127" s="45"/>
      <c r="U127" s="590"/>
      <c r="V127" s="45"/>
      <c r="W127" s="45"/>
      <c r="X127" s="45"/>
      <c r="Y127" s="45"/>
      <c r="Z127" s="45"/>
      <c r="AA127" s="45"/>
      <c r="AB127" s="47"/>
      <c r="AC127" s="47"/>
      <c r="AD127" s="47"/>
      <c r="AE127" s="47"/>
    </row>
    <row r="128" s="119" customFormat="true" ht="11.25" hidden="false" customHeight="true" outlineLevel="0" collapsed="false">
      <c r="A128" s="589"/>
      <c r="B128" s="47"/>
      <c r="C128" s="47"/>
      <c r="K128" s="45"/>
      <c r="L128" s="47"/>
      <c r="M128" s="47"/>
      <c r="N128" s="45"/>
      <c r="O128" s="45"/>
      <c r="P128" s="45"/>
      <c r="Q128" s="45"/>
      <c r="R128" s="47"/>
      <c r="S128" s="45"/>
      <c r="T128" s="45"/>
      <c r="U128" s="590"/>
      <c r="V128" s="45"/>
      <c r="W128" s="45"/>
      <c r="X128" s="45"/>
      <c r="Y128" s="45"/>
      <c r="Z128" s="45"/>
      <c r="AA128" s="45"/>
      <c r="AB128" s="47"/>
      <c r="AC128" s="47"/>
      <c r="AD128" s="47"/>
      <c r="AE128" s="47"/>
    </row>
    <row r="129" s="119" customFormat="true" ht="11.25" hidden="false" customHeight="true" outlineLevel="0" collapsed="false">
      <c r="A129" s="589"/>
      <c r="B129" s="47"/>
      <c r="C129" s="47"/>
      <c r="K129" s="45"/>
      <c r="L129" s="47"/>
      <c r="M129" s="47"/>
      <c r="N129" s="45"/>
      <c r="O129" s="45"/>
      <c r="P129" s="45"/>
      <c r="Q129" s="45"/>
      <c r="R129" s="47"/>
      <c r="S129" s="45"/>
      <c r="T129" s="45"/>
      <c r="U129" s="590"/>
      <c r="V129" s="45"/>
      <c r="W129" s="45"/>
      <c r="X129" s="45"/>
      <c r="Y129" s="45"/>
      <c r="Z129" s="45"/>
      <c r="AA129" s="45"/>
      <c r="AB129" s="47"/>
      <c r="AC129" s="47"/>
      <c r="AD129" s="47"/>
      <c r="AE129" s="47"/>
    </row>
    <row r="130" s="119" customFormat="true" ht="11.25" hidden="false" customHeight="true" outlineLevel="0" collapsed="false">
      <c r="A130" s="589"/>
      <c r="B130" s="47"/>
      <c r="C130" s="47"/>
      <c r="K130" s="45"/>
      <c r="L130" s="47"/>
      <c r="M130" s="47"/>
      <c r="N130" s="45"/>
      <c r="O130" s="45"/>
      <c r="P130" s="45"/>
      <c r="Q130" s="45"/>
      <c r="R130" s="47"/>
      <c r="S130" s="45"/>
      <c r="T130" s="45"/>
      <c r="U130" s="590"/>
      <c r="V130" s="45"/>
      <c r="W130" s="45"/>
      <c r="X130" s="45"/>
      <c r="Y130" s="45"/>
      <c r="Z130" s="45"/>
      <c r="AA130" s="45"/>
      <c r="AB130" s="47"/>
      <c r="AC130" s="47"/>
      <c r="AD130" s="47"/>
      <c r="AE130" s="47"/>
    </row>
    <row r="131" s="119" customFormat="true" ht="11.25" hidden="false" customHeight="true" outlineLevel="0" collapsed="false">
      <c r="A131" s="589"/>
      <c r="B131" s="47"/>
      <c r="C131" s="47"/>
      <c r="K131" s="45"/>
      <c r="L131" s="47"/>
      <c r="M131" s="47"/>
      <c r="N131" s="45"/>
      <c r="O131" s="45"/>
      <c r="P131" s="45"/>
      <c r="Q131" s="45"/>
      <c r="R131" s="47"/>
      <c r="S131" s="45"/>
      <c r="T131" s="45"/>
      <c r="U131" s="590"/>
      <c r="V131" s="45"/>
      <c r="W131" s="45"/>
      <c r="X131" s="45"/>
      <c r="Y131" s="45"/>
      <c r="Z131" s="45"/>
      <c r="AA131" s="45"/>
      <c r="AB131" s="47"/>
      <c r="AC131" s="47"/>
      <c r="AD131" s="47"/>
      <c r="AE131" s="47"/>
    </row>
    <row r="132" s="119" customFormat="true" ht="11.25" hidden="false" customHeight="true" outlineLevel="0" collapsed="false">
      <c r="A132" s="589"/>
      <c r="B132" s="47"/>
      <c r="C132" s="47"/>
      <c r="K132" s="45"/>
      <c r="L132" s="47"/>
      <c r="M132" s="47"/>
      <c r="N132" s="45"/>
      <c r="O132" s="45"/>
      <c r="P132" s="45"/>
      <c r="Q132" s="45"/>
      <c r="R132" s="47"/>
      <c r="S132" s="45"/>
      <c r="T132" s="45"/>
      <c r="U132" s="590"/>
      <c r="V132" s="45"/>
      <c r="W132" s="45"/>
      <c r="X132" s="45"/>
      <c r="Y132" s="45"/>
      <c r="Z132" s="45"/>
      <c r="AA132" s="45"/>
      <c r="AB132" s="47"/>
      <c r="AC132" s="47"/>
      <c r="AD132" s="47"/>
      <c r="AE132" s="47"/>
    </row>
    <row r="133" s="119" customFormat="true" ht="11.25" hidden="false" customHeight="true" outlineLevel="0" collapsed="false">
      <c r="A133" s="589"/>
      <c r="B133" s="47"/>
      <c r="C133" s="47"/>
      <c r="K133" s="45"/>
      <c r="L133" s="47"/>
      <c r="M133" s="47"/>
      <c r="N133" s="45"/>
      <c r="O133" s="45"/>
      <c r="P133" s="45"/>
      <c r="Q133" s="45"/>
      <c r="R133" s="47"/>
      <c r="S133" s="45"/>
      <c r="T133" s="45"/>
      <c r="U133" s="590"/>
      <c r="V133" s="45"/>
      <c r="W133" s="45"/>
      <c r="X133" s="45"/>
      <c r="Y133" s="45"/>
      <c r="Z133" s="45"/>
      <c r="AA133" s="45"/>
      <c r="AB133" s="47"/>
      <c r="AC133" s="47"/>
      <c r="AD133" s="47"/>
      <c r="AE133" s="47"/>
    </row>
    <row r="134" s="119" customFormat="true" ht="11.25" hidden="false" customHeight="true" outlineLevel="0" collapsed="false">
      <c r="A134" s="589"/>
      <c r="B134" s="47"/>
      <c r="C134" s="47"/>
      <c r="K134" s="45"/>
      <c r="L134" s="47"/>
      <c r="M134" s="47"/>
      <c r="N134" s="45"/>
      <c r="O134" s="45"/>
      <c r="P134" s="45"/>
      <c r="Q134" s="45"/>
      <c r="R134" s="47"/>
      <c r="S134" s="45"/>
      <c r="T134" s="45"/>
      <c r="U134" s="590"/>
      <c r="V134" s="45"/>
      <c r="W134" s="45"/>
      <c r="X134" s="45"/>
      <c r="Y134" s="45"/>
      <c r="Z134" s="45"/>
      <c r="AA134" s="45"/>
      <c r="AB134" s="47"/>
      <c r="AC134" s="47"/>
      <c r="AD134" s="47"/>
      <c r="AE134" s="47"/>
    </row>
    <row r="135" s="119" customFormat="true" ht="11.25" hidden="false" customHeight="true" outlineLevel="0" collapsed="false">
      <c r="A135" s="589"/>
      <c r="B135" s="47"/>
      <c r="C135" s="47"/>
      <c r="K135" s="45"/>
      <c r="L135" s="47"/>
      <c r="M135" s="47"/>
      <c r="N135" s="45"/>
      <c r="O135" s="45"/>
      <c r="P135" s="45"/>
      <c r="Q135" s="45"/>
      <c r="R135" s="47"/>
      <c r="S135" s="45"/>
      <c r="T135" s="45"/>
      <c r="U135" s="590"/>
      <c r="V135" s="45"/>
      <c r="W135" s="45"/>
      <c r="X135" s="45"/>
      <c r="Y135" s="45"/>
      <c r="Z135" s="45"/>
      <c r="AA135" s="45"/>
      <c r="AB135" s="47"/>
      <c r="AC135" s="47"/>
      <c r="AD135" s="47"/>
      <c r="AE135" s="47"/>
    </row>
    <row r="136" s="119" customFormat="true" ht="11.25" hidden="false" customHeight="true" outlineLevel="0" collapsed="false">
      <c r="A136" s="589"/>
      <c r="B136" s="47"/>
      <c r="C136" s="47"/>
      <c r="K136" s="45"/>
      <c r="L136" s="47"/>
      <c r="M136" s="47"/>
      <c r="N136" s="45"/>
      <c r="O136" s="45"/>
      <c r="P136" s="45"/>
      <c r="Q136" s="45"/>
      <c r="R136" s="47"/>
      <c r="S136" s="45"/>
      <c r="T136" s="45"/>
      <c r="U136" s="590"/>
      <c r="V136" s="45"/>
      <c r="W136" s="45"/>
      <c r="X136" s="45"/>
      <c r="Y136" s="45"/>
      <c r="Z136" s="45"/>
      <c r="AA136" s="45"/>
      <c r="AB136" s="47"/>
      <c r="AC136" s="47"/>
      <c r="AD136" s="47"/>
      <c r="AE136" s="47"/>
    </row>
    <row r="137" s="119" customFormat="true" ht="11.25" hidden="false" customHeight="true" outlineLevel="0" collapsed="false">
      <c r="A137" s="589"/>
      <c r="B137" s="47"/>
      <c r="C137" s="47"/>
      <c r="K137" s="45"/>
      <c r="L137" s="47"/>
      <c r="M137" s="47"/>
      <c r="N137" s="45"/>
      <c r="O137" s="45"/>
      <c r="P137" s="45"/>
      <c r="Q137" s="45"/>
      <c r="R137" s="47"/>
      <c r="S137" s="45"/>
      <c r="T137" s="45"/>
      <c r="U137" s="590"/>
      <c r="V137" s="45"/>
      <c r="W137" s="45"/>
      <c r="X137" s="45"/>
      <c r="Y137" s="45"/>
      <c r="Z137" s="45"/>
      <c r="AA137" s="45"/>
      <c r="AB137" s="47"/>
      <c r="AC137" s="47"/>
      <c r="AD137" s="47"/>
      <c r="AE137" s="47"/>
    </row>
    <row r="138" s="119" customFormat="true" ht="11.25" hidden="false" customHeight="true" outlineLevel="0" collapsed="false">
      <c r="A138" s="589"/>
      <c r="B138" s="47"/>
      <c r="C138" s="47"/>
      <c r="K138" s="45"/>
      <c r="L138" s="47"/>
      <c r="M138" s="47"/>
      <c r="N138" s="45"/>
      <c r="O138" s="45"/>
      <c r="P138" s="45"/>
      <c r="Q138" s="45"/>
      <c r="R138" s="47"/>
      <c r="S138" s="45"/>
      <c r="T138" s="45"/>
      <c r="U138" s="590"/>
      <c r="V138" s="45"/>
      <c r="W138" s="45"/>
      <c r="X138" s="45"/>
      <c r="Y138" s="45"/>
      <c r="Z138" s="45"/>
      <c r="AA138" s="45"/>
      <c r="AB138" s="47"/>
      <c r="AC138" s="47"/>
      <c r="AD138" s="47"/>
      <c r="AE138" s="47"/>
    </row>
    <row r="139" s="119" customFormat="true" ht="11.25" hidden="false" customHeight="true" outlineLevel="0" collapsed="false">
      <c r="A139" s="589"/>
      <c r="B139" s="47"/>
      <c r="C139" s="47"/>
      <c r="K139" s="45"/>
      <c r="L139" s="47"/>
      <c r="M139" s="47"/>
      <c r="N139" s="45"/>
      <c r="O139" s="45"/>
      <c r="P139" s="45"/>
      <c r="Q139" s="45"/>
      <c r="R139" s="47"/>
      <c r="S139" s="45"/>
      <c r="T139" s="45"/>
      <c r="U139" s="590"/>
      <c r="V139" s="45"/>
      <c r="W139" s="45"/>
      <c r="X139" s="45"/>
      <c r="Y139" s="45"/>
      <c r="Z139" s="45"/>
      <c r="AA139" s="45"/>
      <c r="AB139" s="47"/>
      <c r="AC139" s="47"/>
      <c r="AD139" s="47"/>
      <c r="AE139" s="47"/>
    </row>
    <row r="140" s="119" customFormat="true" ht="11.25" hidden="false" customHeight="true" outlineLevel="0" collapsed="false">
      <c r="A140" s="589"/>
      <c r="B140" s="47"/>
      <c r="C140" s="47"/>
      <c r="K140" s="45"/>
      <c r="L140" s="47"/>
      <c r="M140" s="47"/>
      <c r="N140" s="45"/>
      <c r="O140" s="45"/>
      <c r="P140" s="45"/>
      <c r="Q140" s="45"/>
      <c r="R140" s="47"/>
      <c r="S140" s="45"/>
      <c r="T140" s="45"/>
      <c r="U140" s="590"/>
      <c r="V140" s="45"/>
      <c r="W140" s="45"/>
      <c r="X140" s="45"/>
      <c r="Y140" s="45"/>
      <c r="Z140" s="45"/>
      <c r="AA140" s="45"/>
      <c r="AB140" s="47"/>
      <c r="AC140" s="47"/>
      <c r="AD140" s="47"/>
      <c r="AE140" s="47"/>
    </row>
    <row r="141" s="119" customFormat="true" ht="11.25" hidden="false" customHeight="true" outlineLevel="0" collapsed="false">
      <c r="A141" s="589"/>
      <c r="B141" s="47"/>
      <c r="C141" s="47"/>
      <c r="K141" s="45"/>
      <c r="L141" s="47"/>
      <c r="M141" s="47"/>
      <c r="N141" s="45"/>
      <c r="O141" s="45"/>
      <c r="P141" s="45"/>
      <c r="Q141" s="45"/>
      <c r="R141" s="47"/>
      <c r="S141" s="45"/>
      <c r="T141" s="45"/>
      <c r="U141" s="590"/>
      <c r="V141" s="45"/>
      <c r="W141" s="45"/>
      <c r="X141" s="45"/>
      <c r="Y141" s="45"/>
      <c r="Z141" s="45"/>
      <c r="AA141" s="45"/>
      <c r="AB141" s="47"/>
      <c r="AC141" s="47"/>
      <c r="AD141" s="47"/>
      <c r="AE141" s="47"/>
    </row>
    <row r="142" s="119" customFormat="true" ht="11.25" hidden="false" customHeight="true" outlineLevel="0" collapsed="false">
      <c r="A142" s="589"/>
      <c r="B142" s="47"/>
      <c r="C142" s="47"/>
      <c r="K142" s="45"/>
      <c r="L142" s="47"/>
      <c r="M142" s="47"/>
      <c r="N142" s="45"/>
      <c r="O142" s="45"/>
      <c r="P142" s="45"/>
      <c r="Q142" s="45"/>
      <c r="R142" s="47"/>
      <c r="S142" s="45"/>
      <c r="T142" s="45"/>
      <c r="U142" s="590"/>
      <c r="V142" s="45"/>
      <c r="W142" s="45"/>
      <c r="X142" s="45"/>
      <c r="Y142" s="45"/>
      <c r="Z142" s="45"/>
      <c r="AA142" s="45"/>
      <c r="AB142" s="47"/>
      <c r="AC142" s="47"/>
      <c r="AD142" s="47"/>
      <c r="AE142" s="47"/>
    </row>
    <row r="143" s="119" customFormat="true" ht="11.25" hidden="false" customHeight="true" outlineLevel="0" collapsed="false">
      <c r="A143" s="589"/>
      <c r="B143" s="47"/>
      <c r="C143" s="47"/>
      <c r="K143" s="45"/>
      <c r="L143" s="47"/>
      <c r="M143" s="47"/>
      <c r="N143" s="45"/>
      <c r="O143" s="45"/>
      <c r="P143" s="45"/>
      <c r="Q143" s="45"/>
      <c r="R143" s="47"/>
      <c r="S143" s="45"/>
      <c r="T143" s="45"/>
      <c r="U143" s="590"/>
      <c r="V143" s="45"/>
      <c r="W143" s="45"/>
      <c r="X143" s="45"/>
      <c r="Y143" s="45"/>
      <c r="Z143" s="45"/>
      <c r="AA143" s="45"/>
      <c r="AB143" s="47"/>
      <c r="AC143" s="47"/>
      <c r="AD143" s="47"/>
      <c r="AE143" s="47"/>
    </row>
    <row r="144" s="119" customFormat="true" ht="11.25" hidden="false" customHeight="true" outlineLevel="0" collapsed="false">
      <c r="A144" s="589"/>
      <c r="B144" s="47"/>
      <c r="C144" s="47"/>
      <c r="K144" s="45"/>
      <c r="L144" s="47"/>
      <c r="M144" s="47"/>
      <c r="N144" s="45"/>
      <c r="O144" s="45"/>
      <c r="P144" s="45"/>
      <c r="Q144" s="45"/>
      <c r="R144" s="47"/>
      <c r="S144" s="45"/>
      <c r="T144" s="45"/>
      <c r="U144" s="590"/>
      <c r="V144" s="45"/>
      <c r="W144" s="45"/>
      <c r="X144" s="45"/>
      <c r="Y144" s="45"/>
      <c r="Z144" s="45"/>
      <c r="AA144" s="45"/>
      <c r="AB144" s="47"/>
      <c r="AC144" s="47"/>
      <c r="AD144" s="47"/>
      <c r="AE144" s="47"/>
    </row>
    <row r="145" s="119" customFormat="true" ht="11.25" hidden="false" customHeight="true" outlineLevel="0" collapsed="false">
      <c r="A145" s="589"/>
      <c r="B145" s="47"/>
      <c r="C145" s="47"/>
      <c r="K145" s="45"/>
      <c r="L145" s="47"/>
      <c r="M145" s="47"/>
      <c r="N145" s="45"/>
      <c r="O145" s="45"/>
      <c r="P145" s="45"/>
      <c r="Q145" s="45"/>
      <c r="R145" s="47"/>
      <c r="S145" s="45"/>
      <c r="T145" s="45"/>
      <c r="U145" s="590"/>
      <c r="V145" s="45"/>
      <c r="W145" s="45"/>
      <c r="X145" s="45"/>
      <c r="Y145" s="45"/>
      <c r="Z145" s="45"/>
      <c r="AA145" s="45"/>
      <c r="AB145" s="47"/>
      <c r="AC145" s="47"/>
      <c r="AD145" s="47"/>
      <c r="AE145" s="47"/>
    </row>
    <row r="146" s="119" customFormat="true" ht="11.25" hidden="false" customHeight="true" outlineLevel="0" collapsed="false">
      <c r="A146" s="589"/>
      <c r="B146" s="47"/>
      <c r="C146" s="47"/>
      <c r="K146" s="45"/>
      <c r="L146" s="47"/>
      <c r="M146" s="47"/>
      <c r="N146" s="45"/>
      <c r="O146" s="45"/>
      <c r="P146" s="45"/>
      <c r="Q146" s="45"/>
      <c r="R146" s="47"/>
      <c r="S146" s="45"/>
      <c r="T146" s="45"/>
      <c r="U146" s="590"/>
      <c r="V146" s="45"/>
      <c r="W146" s="45"/>
      <c r="X146" s="45"/>
      <c r="Y146" s="45"/>
      <c r="Z146" s="45"/>
      <c r="AA146" s="45"/>
      <c r="AB146" s="47"/>
      <c r="AC146" s="47"/>
      <c r="AD146" s="47"/>
      <c r="AE146" s="47"/>
    </row>
    <row r="147" s="119" customFormat="true" ht="11.25" hidden="false" customHeight="true" outlineLevel="0" collapsed="false">
      <c r="A147" s="589"/>
      <c r="B147" s="47"/>
      <c r="C147" s="47"/>
      <c r="K147" s="45"/>
      <c r="L147" s="47"/>
      <c r="M147" s="47"/>
      <c r="N147" s="45"/>
      <c r="O147" s="45"/>
      <c r="P147" s="45"/>
      <c r="Q147" s="45"/>
      <c r="R147" s="47"/>
      <c r="S147" s="45"/>
      <c r="T147" s="45"/>
      <c r="U147" s="590"/>
      <c r="V147" s="45"/>
      <c r="W147" s="45"/>
      <c r="X147" s="45"/>
      <c r="Y147" s="45"/>
      <c r="Z147" s="45"/>
      <c r="AA147" s="45"/>
      <c r="AB147" s="47"/>
      <c r="AC147" s="47"/>
      <c r="AD147" s="47"/>
      <c r="AE147" s="47"/>
    </row>
    <row r="148" s="119" customFormat="true" ht="11.25" hidden="false" customHeight="true" outlineLevel="0" collapsed="false">
      <c r="A148" s="589"/>
      <c r="B148" s="47"/>
      <c r="C148" s="47"/>
      <c r="K148" s="45"/>
      <c r="L148" s="47"/>
      <c r="M148" s="47"/>
      <c r="N148" s="45"/>
      <c r="O148" s="45"/>
      <c r="P148" s="45"/>
      <c r="Q148" s="45"/>
      <c r="R148" s="47"/>
      <c r="S148" s="45"/>
      <c r="T148" s="45"/>
      <c r="U148" s="590"/>
      <c r="V148" s="45"/>
      <c r="W148" s="45"/>
      <c r="X148" s="45"/>
      <c r="Y148" s="45"/>
      <c r="Z148" s="45"/>
      <c r="AA148" s="45"/>
      <c r="AB148" s="47"/>
      <c r="AC148" s="47"/>
      <c r="AD148" s="47"/>
      <c r="AE148" s="47"/>
    </row>
    <row r="149" s="119" customFormat="true" ht="11.25" hidden="false" customHeight="true" outlineLevel="0" collapsed="false">
      <c r="A149" s="589"/>
      <c r="B149" s="47"/>
      <c r="C149" s="47"/>
      <c r="K149" s="45"/>
      <c r="L149" s="47"/>
      <c r="M149" s="47"/>
      <c r="N149" s="45"/>
      <c r="O149" s="45"/>
      <c r="P149" s="45"/>
      <c r="Q149" s="45"/>
      <c r="R149" s="47"/>
      <c r="S149" s="45"/>
      <c r="T149" s="45"/>
      <c r="U149" s="590"/>
      <c r="V149" s="45"/>
      <c r="W149" s="45"/>
      <c r="X149" s="45"/>
      <c r="Y149" s="45"/>
      <c r="Z149" s="45"/>
      <c r="AA149" s="45"/>
      <c r="AB149" s="47"/>
      <c r="AC149" s="47"/>
      <c r="AD149" s="47"/>
      <c r="AE149" s="47"/>
    </row>
    <row r="150" s="119" customFormat="true" ht="11.25" hidden="false" customHeight="true" outlineLevel="0" collapsed="false">
      <c r="A150" s="589"/>
      <c r="B150" s="47"/>
      <c r="C150" s="47"/>
      <c r="K150" s="45"/>
      <c r="L150" s="47"/>
      <c r="M150" s="47"/>
      <c r="N150" s="45"/>
      <c r="O150" s="45"/>
      <c r="P150" s="45"/>
      <c r="Q150" s="45"/>
      <c r="R150" s="47"/>
      <c r="S150" s="45"/>
      <c r="T150" s="45"/>
      <c r="U150" s="590"/>
      <c r="V150" s="45"/>
      <c r="W150" s="45"/>
      <c r="X150" s="45"/>
      <c r="Y150" s="45"/>
      <c r="Z150" s="45"/>
      <c r="AA150" s="45"/>
      <c r="AB150" s="47"/>
      <c r="AC150" s="47"/>
      <c r="AD150" s="47"/>
      <c r="AE150" s="47"/>
    </row>
    <row r="151" s="119" customFormat="true" ht="11.25" hidden="false" customHeight="true" outlineLevel="0" collapsed="false">
      <c r="A151" s="589"/>
      <c r="B151" s="47"/>
      <c r="C151" s="47"/>
      <c r="K151" s="45"/>
      <c r="L151" s="47"/>
      <c r="M151" s="47"/>
      <c r="N151" s="45"/>
      <c r="O151" s="45"/>
      <c r="P151" s="45"/>
      <c r="Q151" s="45"/>
      <c r="R151" s="47"/>
      <c r="S151" s="45"/>
      <c r="T151" s="45"/>
      <c r="U151" s="590"/>
      <c r="V151" s="45"/>
      <c r="W151" s="45"/>
      <c r="X151" s="45"/>
      <c r="Y151" s="45"/>
      <c r="Z151" s="45"/>
      <c r="AA151" s="45"/>
      <c r="AB151" s="47"/>
      <c r="AC151" s="47"/>
      <c r="AD151" s="47"/>
      <c r="AE151" s="47"/>
    </row>
    <row r="152" s="119" customFormat="true" ht="11.25" hidden="false" customHeight="true" outlineLevel="0" collapsed="false">
      <c r="A152" s="589"/>
      <c r="B152" s="47"/>
      <c r="C152" s="47"/>
      <c r="K152" s="45"/>
      <c r="L152" s="47"/>
      <c r="M152" s="47"/>
      <c r="N152" s="45"/>
      <c r="O152" s="45"/>
      <c r="P152" s="45"/>
      <c r="Q152" s="45"/>
      <c r="R152" s="47"/>
      <c r="S152" s="45"/>
      <c r="T152" s="45"/>
      <c r="U152" s="590"/>
      <c r="V152" s="45"/>
      <c r="W152" s="45"/>
      <c r="X152" s="45"/>
      <c r="Y152" s="45"/>
      <c r="Z152" s="45"/>
      <c r="AA152" s="45"/>
      <c r="AB152" s="47"/>
      <c r="AC152" s="47"/>
      <c r="AD152" s="47"/>
      <c r="AE152" s="47"/>
    </row>
    <row r="153" s="119" customFormat="true" ht="11.25" hidden="false" customHeight="true" outlineLevel="0" collapsed="false">
      <c r="A153" s="589"/>
      <c r="B153" s="47"/>
      <c r="C153" s="47"/>
      <c r="K153" s="45"/>
      <c r="L153" s="47"/>
      <c r="M153" s="47"/>
      <c r="N153" s="45"/>
      <c r="O153" s="45"/>
      <c r="P153" s="45"/>
      <c r="Q153" s="45"/>
      <c r="R153" s="47"/>
      <c r="S153" s="45"/>
      <c r="T153" s="45"/>
      <c r="U153" s="590"/>
      <c r="V153" s="45"/>
      <c r="W153" s="45"/>
      <c r="X153" s="45"/>
      <c r="Y153" s="45"/>
      <c r="Z153" s="45"/>
      <c r="AA153" s="45"/>
      <c r="AB153" s="47"/>
      <c r="AC153" s="47"/>
      <c r="AD153" s="47"/>
      <c r="AE153" s="47"/>
    </row>
    <row r="154" s="119" customFormat="true" ht="11.25" hidden="false" customHeight="true" outlineLevel="0" collapsed="false">
      <c r="A154" s="589"/>
      <c r="B154" s="47"/>
      <c r="C154" s="47"/>
      <c r="K154" s="45"/>
      <c r="L154" s="47"/>
      <c r="M154" s="47"/>
      <c r="N154" s="45"/>
      <c r="O154" s="45"/>
      <c r="P154" s="45"/>
      <c r="Q154" s="45"/>
      <c r="R154" s="47"/>
      <c r="S154" s="45"/>
      <c r="T154" s="45"/>
      <c r="U154" s="590"/>
      <c r="V154" s="45"/>
      <c r="W154" s="45"/>
      <c r="X154" s="45"/>
      <c r="Y154" s="45"/>
      <c r="Z154" s="45"/>
      <c r="AA154" s="45"/>
      <c r="AB154" s="47"/>
      <c r="AC154" s="47"/>
      <c r="AD154" s="47"/>
      <c r="AE154" s="47"/>
    </row>
    <row r="155" s="119" customFormat="true" ht="11.25" hidden="false" customHeight="true" outlineLevel="0" collapsed="false">
      <c r="A155" s="589"/>
      <c r="B155" s="47"/>
      <c r="C155" s="47"/>
      <c r="K155" s="45"/>
      <c r="L155" s="47"/>
      <c r="M155" s="47"/>
      <c r="N155" s="45"/>
      <c r="O155" s="45"/>
      <c r="P155" s="45"/>
      <c r="Q155" s="45"/>
      <c r="R155" s="47"/>
      <c r="S155" s="45"/>
      <c r="T155" s="45"/>
      <c r="U155" s="590"/>
      <c r="V155" s="45"/>
      <c r="W155" s="45"/>
      <c r="X155" s="45"/>
      <c r="Y155" s="45"/>
      <c r="Z155" s="45"/>
      <c r="AA155" s="45"/>
      <c r="AB155" s="47"/>
      <c r="AC155" s="47"/>
      <c r="AD155" s="47"/>
      <c r="AE155" s="47"/>
    </row>
    <row r="156" s="119" customFormat="true" ht="11.25" hidden="false" customHeight="true" outlineLevel="0" collapsed="false">
      <c r="A156" s="589"/>
      <c r="B156" s="47"/>
      <c r="C156" s="47"/>
      <c r="K156" s="45"/>
      <c r="L156" s="47"/>
      <c r="M156" s="47"/>
      <c r="N156" s="45"/>
      <c r="O156" s="45"/>
      <c r="P156" s="45"/>
      <c r="Q156" s="45"/>
      <c r="R156" s="47"/>
      <c r="S156" s="45"/>
      <c r="T156" s="45"/>
      <c r="U156" s="590"/>
      <c r="V156" s="45"/>
      <c r="W156" s="45"/>
      <c r="X156" s="45"/>
      <c r="Y156" s="45"/>
      <c r="Z156" s="45"/>
      <c r="AA156" s="45"/>
      <c r="AB156" s="47"/>
      <c r="AC156" s="47"/>
      <c r="AD156" s="47"/>
      <c r="AE156" s="47"/>
    </row>
    <row r="157" s="119" customFormat="true" ht="11.25" hidden="false" customHeight="true" outlineLevel="0" collapsed="false">
      <c r="A157" s="589"/>
      <c r="B157" s="47"/>
      <c r="C157" s="47"/>
      <c r="K157" s="45"/>
      <c r="L157" s="47"/>
      <c r="M157" s="47"/>
      <c r="N157" s="45"/>
      <c r="O157" s="45"/>
      <c r="P157" s="45"/>
      <c r="Q157" s="45"/>
      <c r="R157" s="47"/>
      <c r="S157" s="45"/>
      <c r="T157" s="45"/>
      <c r="U157" s="590"/>
      <c r="V157" s="45"/>
      <c r="W157" s="45"/>
      <c r="X157" s="45"/>
      <c r="Y157" s="45"/>
      <c r="Z157" s="45"/>
      <c r="AA157" s="45"/>
      <c r="AB157" s="47"/>
      <c r="AC157" s="47"/>
      <c r="AD157" s="47"/>
      <c r="AE157" s="47"/>
    </row>
    <row r="158" s="119" customFormat="true" ht="11.25" hidden="false" customHeight="true" outlineLevel="0" collapsed="false">
      <c r="A158" s="589"/>
      <c r="B158" s="47"/>
      <c r="C158" s="47"/>
      <c r="K158" s="45"/>
      <c r="L158" s="47"/>
      <c r="M158" s="47"/>
      <c r="N158" s="45"/>
      <c r="O158" s="45"/>
      <c r="P158" s="45"/>
      <c r="Q158" s="45"/>
      <c r="R158" s="47"/>
      <c r="S158" s="45"/>
      <c r="T158" s="45"/>
      <c r="U158" s="590"/>
      <c r="V158" s="45"/>
      <c r="W158" s="45"/>
      <c r="X158" s="45"/>
      <c r="Y158" s="45"/>
      <c r="Z158" s="45"/>
      <c r="AA158" s="45"/>
      <c r="AB158" s="47"/>
      <c r="AC158" s="47"/>
      <c r="AD158" s="47"/>
      <c r="AE158" s="47"/>
    </row>
    <row r="159" s="119" customFormat="true" ht="11.25" hidden="false" customHeight="true" outlineLevel="0" collapsed="false">
      <c r="A159" s="589"/>
      <c r="B159" s="47"/>
      <c r="C159" s="47"/>
      <c r="K159" s="45"/>
      <c r="L159" s="47"/>
      <c r="M159" s="47"/>
      <c r="N159" s="45"/>
      <c r="O159" s="45"/>
      <c r="P159" s="45"/>
      <c r="Q159" s="45"/>
      <c r="R159" s="47"/>
      <c r="S159" s="45"/>
      <c r="T159" s="45"/>
      <c r="U159" s="590"/>
      <c r="V159" s="45"/>
      <c r="W159" s="45"/>
      <c r="X159" s="45"/>
      <c r="Y159" s="45"/>
      <c r="Z159" s="45"/>
      <c r="AA159" s="45"/>
      <c r="AB159" s="47"/>
      <c r="AC159" s="47"/>
      <c r="AD159" s="47"/>
      <c r="AE159" s="47"/>
    </row>
    <row r="160" s="119" customFormat="true" ht="11.25" hidden="false" customHeight="true" outlineLevel="0" collapsed="false">
      <c r="A160" s="589"/>
      <c r="B160" s="47"/>
      <c r="C160" s="47"/>
      <c r="K160" s="45"/>
      <c r="L160" s="47"/>
      <c r="M160" s="47"/>
      <c r="N160" s="45"/>
      <c r="O160" s="45"/>
      <c r="P160" s="45"/>
      <c r="Q160" s="45"/>
      <c r="R160" s="47"/>
      <c r="S160" s="45"/>
      <c r="T160" s="45"/>
      <c r="U160" s="590"/>
      <c r="V160" s="45"/>
      <c r="W160" s="45"/>
      <c r="X160" s="45"/>
      <c r="Y160" s="45"/>
      <c r="Z160" s="45"/>
      <c r="AA160" s="45"/>
      <c r="AB160" s="47"/>
      <c r="AC160" s="47"/>
      <c r="AD160" s="47"/>
      <c r="AE160" s="47"/>
    </row>
    <row r="161" s="119" customFormat="true" ht="11.25" hidden="false" customHeight="true" outlineLevel="0" collapsed="false">
      <c r="A161" s="589"/>
      <c r="B161" s="47"/>
      <c r="C161" s="47"/>
      <c r="K161" s="45"/>
      <c r="L161" s="47"/>
      <c r="M161" s="47"/>
      <c r="N161" s="45"/>
      <c r="O161" s="45"/>
      <c r="P161" s="45"/>
      <c r="Q161" s="45"/>
      <c r="R161" s="47"/>
      <c r="S161" s="45"/>
      <c r="T161" s="45"/>
      <c r="U161" s="590"/>
      <c r="V161" s="45"/>
      <c r="W161" s="45"/>
      <c r="X161" s="45"/>
      <c r="Y161" s="45"/>
      <c r="Z161" s="45"/>
      <c r="AA161" s="45"/>
      <c r="AB161" s="47"/>
      <c r="AC161" s="47"/>
      <c r="AD161" s="47"/>
      <c r="AE161" s="47"/>
    </row>
    <row r="162" s="119" customFormat="true" ht="11.25" hidden="false" customHeight="true" outlineLevel="0" collapsed="false">
      <c r="A162" s="589"/>
      <c r="B162" s="47"/>
      <c r="C162" s="47"/>
      <c r="K162" s="45"/>
      <c r="L162" s="47"/>
      <c r="M162" s="47"/>
      <c r="N162" s="45"/>
      <c r="O162" s="45"/>
      <c r="P162" s="45"/>
      <c r="Q162" s="45"/>
      <c r="R162" s="47"/>
      <c r="S162" s="45"/>
      <c r="T162" s="45"/>
      <c r="U162" s="590"/>
      <c r="V162" s="45"/>
      <c r="W162" s="45"/>
      <c r="X162" s="45"/>
      <c r="Y162" s="45"/>
      <c r="Z162" s="45"/>
      <c r="AA162" s="45"/>
      <c r="AB162" s="47"/>
      <c r="AC162" s="47"/>
      <c r="AD162" s="47"/>
      <c r="AE162" s="47"/>
    </row>
    <row r="163" s="119" customFormat="true" ht="11.25" hidden="false" customHeight="true" outlineLevel="0" collapsed="false">
      <c r="A163" s="589"/>
      <c r="B163" s="47"/>
      <c r="C163" s="47"/>
      <c r="K163" s="45"/>
      <c r="L163" s="47"/>
      <c r="M163" s="47"/>
      <c r="N163" s="45"/>
      <c r="O163" s="45"/>
      <c r="P163" s="45"/>
      <c r="Q163" s="45"/>
      <c r="R163" s="47"/>
      <c r="S163" s="45"/>
      <c r="T163" s="45"/>
      <c r="U163" s="590"/>
      <c r="V163" s="45"/>
      <c r="W163" s="45"/>
      <c r="X163" s="45"/>
      <c r="Y163" s="45"/>
      <c r="Z163" s="45"/>
      <c r="AA163" s="45"/>
      <c r="AB163" s="47"/>
      <c r="AC163" s="47"/>
      <c r="AD163" s="47"/>
      <c r="AE163" s="47"/>
    </row>
    <row r="164" s="119" customFormat="true" ht="11.25" hidden="false" customHeight="true" outlineLevel="0" collapsed="false">
      <c r="A164" s="589"/>
      <c r="B164" s="47"/>
      <c r="C164" s="47"/>
      <c r="K164" s="45"/>
      <c r="L164" s="47"/>
      <c r="M164" s="47"/>
      <c r="N164" s="45"/>
      <c r="O164" s="45"/>
      <c r="P164" s="45"/>
      <c r="Q164" s="45"/>
      <c r="R164" s="47"/>
      <c r="S164" s="45"/>
      <c r="T164" s="45"/>
      <c r="U164" s="590"/>
      <c r="V164" s="45"/>
      <c r="W164" s="45"/>
      <c r="X164" s="45"/>
      <c r="Y164" s="45"/>
      <c r="Z164" s="45"/>
      <c r="AA164" s="45"/>
      <c r="AB164" s="47"/>
      <c r="AC164" s="47"/>
      <c r="AD164" s="47"/>
      <c r="AE164" s="47"/>
    </row>
    <row r="165" s="119" customFormat="true" ht="11.25" hidden="false" customHeight="true" outlineLevel="0" collapsed="false">
      <c r="A165" s="589"/>
      <c r="B165" s="47"/>
      <c r="C165" s="47"/>
      <c r="K165" s="45"/>
      <c r="L165" s="47"/>
      <c r="M165" s="47"/>
      <c r="N165" s="45"/>
      <c r="O165" s="45"/>
      <c r="P165" s="45"/>
      <c r="Q165" s="45"/>
      <c r="R165" s="47"/>
      <c r="S165" s="45"/>
      <c r="T165" s="45"/>
      <c r="U165" s="590"/>
      <c r="V165" s="45"/>
      <c r="W165" s="45"/>
      <c r="X165" s="45"/>
      <c r="Y165" s="45"/>
      <c r="Z165" s="45"/>
      <c r="AA165" s="45"/>
      <c r="AB165" s="47"/>
      <c r="AC165" s="47"/>
      <c r="AD165" s="47"/>
      <c r="AE165" s="47"/>
    </row>
    <row r="166" s="119" customFormat="true" ht="11.25" hidden="false" customHeight="true" outlineLevel="0" collapsed="false">
      <c r="A166" s="589"/>
      <c r="B166" s="47"/>
      <c r="C166" s="47"/>
      <c r="K166" s="45"/>
      <c r="L166" s="47"/>
      <c r="M166" s="47"/>
      <c r="N166" s="45"/>
      <c r="O166" s="45"/>
      <c r="P166" s="45"/>
      <c r="Q166" s="45"/>
      <c r="R166" s="47"/>
      <c r="S166" s="45"/>
      <c r="T166" s="45"/>
      <c r="U166" s="590"/>
      <c r="V166" s="45"/>
      <c r="W166" s="45"/>
      <c r="X166" s="45"/>
      <c r="Y166" s="45"/>
      <c r="Z166" s="45"/>
      <c r="AA166" s="45"/>
      <c r="AB166" s="47"/>
      <c r="AC166" s="47"/>
      <c r="AD166" s="47"/>
      <c r="AE166" s="47"/>
    </row>
    <row r="167" s="119" customFormat="true" ht="11.25" hidden="false" customHeight="true" outlineLevel="0" collapsed="false">
      <c r="A167" s="589"/>
      <c r="B167" s="47"/>
      <c r="C167" s="47"/>
      <c r="K167" s="45"/>
      <c r="L167" s="47"/>
      <c r="M167" s="47"/>
      <c r="N167" s="45"/>
      <c r="O167" s="45"/>
      <c r="P167" s="45"/>
      <c r="Q167" s="45"/>
      <c r="R167" s="47"/>
      <c r="S167" s="45"/>
      <c r="T167" s="45"/>
      <c r="U167" s="590"/>
      <c r="V167" s="45"/>
      <c r="W167" s="45"/>
      <c r="X167" s="45"/>
      <c r="Y167" s="45"/>
      <c r="Z167" s="45"/>
      <c r="AA167" s="45"/>
      <c r="AB167" s="47"/>
      <c r="AC167" s="47"/>
      <c r="AD167" s="47"/>
      <c r="AE167" s="47"/>
    </row>
    <row r="168" s="119" customFormat="true" ht="11.25" hidden="false" customHeight="true" outlineLevel="0" collapsed="false">
      <c r="A168" s="589"/>
      <c r="B168" s="47"/>
      <c r="C168" s="47"/>
      <c r="K168" s="45"/>
      <c r="L168" s="47"/>
      <c r="M168" s="47"/>
      <c r="N168" s="45"/>
      <c r="O168" s="45"/>
      <c r="P168" s="45"/>
      <c r="Q168" s="45"/>
      <c r="R168" s="47"/>
      <c r="S168" s="45"/>
      <c r="T168" s="45"/>
      <c r="U168" s="590"/>
      <c r="V168" s="45"/>
      <c r="W168" s="45"/>
      <c r="X168" s="45"/>
      <c r="Y168" s="45"/>
      <c r="Z168" s="45"/>
      <c r="AA168" s="45"/>
      <c r="AB168" s="47"/>
      <c r="AC168" s="47"/>
      <c r="AD168" s="47"/>
      <c r="AE168" s="47"/>
    </row>
    <row r="169" s="119" customFormat="true" ht="11.25" hidden="false" customHeight="true" outlineLevel="0" collapsed="false">
      <c r="A169" s="589"/>
      <c r="B169" s="47"/>
      <c r="C169" s="47"/>
      <c r="K169" s="45"/>
      <c r="L169" s="47"/>
      <c r="M169" s="47"/>
      <c r="N169" s="45"/>
      <c r="O169" s="45"/>
      <c r="P169" s="45"/>
      <c r="Q169" s="45"/>
      <c r="R169" s="47"/>
      <c r="S169" s="45"/>
      <c r="T169" s="45"/>
      <c r="U169" s="590"/>
      <c r="V169" s="45"/>
      <c r="W169" s="45"/>
      <c r="X169" s="45"/>
      <c r="Y169" s="45"/>
      <c r="Z169" s="45"/>
      <c r="AA169" s="45"/>
      <c r="AB169" s="47"/>
      <c r="AC169" s="47"/>
      <c r="AD169" s="47"/>
      <c r="AE169" s="47"/>
    </row>
    <row r="170" s="119" customFormat="true" ht="11.25" hidden="false" customHeight="true" outlineLevel="0" collapsed="false">
      <c r="A170" s="589"/>
      <c r="B170" s="47"/>
      <c r="C170" s="47"/>
      <c r="K170" s="45"/>
      <c r="L170" s="47"/>
      <c r="M170" s="47"/>
      <c r="N170" s="45"/>
      <c r="O170" s="45"/>
      <c r="P170" s="45"/>
      <c r="Q170" s="45"/>
      <c r="R170" s="47"/>
      <c r="S170" s="45"/>
      <c r="T170" s="45"/>
      <c r="U170" s="590"/>
      <c r="V170" s="45"/>
      <c r="W170" s="45"/>
      <c r="X170" s="45"/>
      <c r="Y170" s="45"/>
      <c r="Z170" s="45"/>
      <c r="AA170" s="45"/>
      <c r="AB170" s="47"/>
      <c r="AC170" s="47"/>
      <c r="AD170" s="47"/>
      <c r="AE170" s="47"/>
    </row>
    <row r="171" s="119" customFormat="true" ht="11.25" hidden="false" customHeight="true" outlineLevel="0" collapsed="false">
      <c r="A171" s="589"/>
      <c r="B171" s="47"/>
      <c r="C171" s="47"/>
      <c r="K171" s="45"/>
      <c r="L171" s="47"/>
      <c r="M171" s="47"/>
      <c r="N171" s="45"/>
      <c r="O171" s="45"/>
      <c r="P171" s="45"/>
      <c r="Q171" s="45"/>
      <c r="R171" s="47"/>
      <c r="S171" s="45"/>
      <c r="T171" s="45"/>
      <c r="U171" s="590"/>
      <c r="V171" s="45"/>
      <c r="W171" s="45"/>
      <c r="X171" s="45"/>
      <c r="Y171" s="45"/>
      <c r="Z171" s="45"/>
      <c r="AA171" s="45"/>
      <c r="AB171" s="47"/>
      <c r="AC171" s="47"/>
      <c r="AD171" s="47"/>
      <c r="AE171" s="47"/>
    </row>
    <row r="172" s="119" customFormat="true" ht="11.25" hidden="false" customHeight="true" outlineLevel="0" collapsed="false">
      <c r="A172" s="589"/>
      <c r="B172" s="47"/>
      <c r="C172" s="47"/>
      <c r="K172" s="45"/>
      <c r="L172" s="47"/>
      <c r="M172" s="47"/>
      <c r="N172" s="45"/>
      <c r="O172" s="45"/>
      <c r="P172" s="45"/>
      <c r="Q172" s="45"/>
      <c r="R172" s="47"/>
      <c r="S172" s="45"/>
      <c r="T172" s="45"/>
      <c r="U172" s="590"/>
      <c r="V172" s="45"/>
      <c r="W172" s="45"/>
      <c r="X172" s="45"/>
      <c r="Y172" s="45"/>
      <c r="Z172" s="45"/>
      <c r="AA172" s="45"/>
      <c r="AB172" s="47"/>
      <c r="AC172" s="47"/>
      <c r="AD172" s="47"/>
      <c r="AE172" s="47"/>
    </row>
    <row r="173" s="119" customFormat="true" ht="11.25" hidden="false" customHeight="true" outlineLevel="0" collapsed="false">
      <c r="A173" s="589"/>
      <c r="B173" s="47"/>
      <c r="C173" s="47"/>
      <c r="K173" s="45"/>
      <c r="L173" s="47"/>
      <c r="M173" s="47"/>
      <c r="N173" s="45"/>
      <c r="O173" s="45"/>
      <c r="P173" s="45"/>
      <c r="Q173" s="45"/>
      <c r="R173" s="47"/>
      <c r="S173" s="45"/>
      <c r="T173" s="45"/>
      <c r="U173" s="590"/>
      <c r="V173" s="45"/>
      <c r="W173" s="45"/>
      <c r="X173" s="45"/>
      <c r="Y173" s="45"/>
      <c r="Z173" s="45"/>
      <c r="AA173" s="45"/>
      <c r="AB173" s="47"/>
      <c r="AC173" s="47"/>
      <c r="AD173" s="47"/>
      <c r="AE173" s="47"/>
    </row>
    <row r="174" s="119" customFormat="true" ht="11.25" hidden="false" customHeight="true" outlineLevel="0" collapsed="false">
      <c r="A174" s="589"/>
      <c r="B174" s="47"/>
      <c r="C174" s="47"/>
      <c r="K174" s="45"/>
      <c r="L174" s="47"/>
      <c r="M174" s="47"/>
      <c r="N174" s="45"/>
      <c r="O174" s="45"/>
      <c r="P174" s="45"/>
      <c r="Q174" s="45"/>
      <c r="R174" s="47"/>
      <c r="S174" s="45"/>
      <c r="T174" s="45"/>
      <c r="U174" s="590"/>
      <c r="V174" s="45"/>
      <c r="W174" s="45"/>
      <c r="X174" s="45"/>
      <c r="Y174" s="45"/>
      <c r="Z174" s="45"/>
      <c r="AA174" s="45"/>
      <c r="AB174" s="47"/>
      <c r="AC174" s="47"/>
      <c r="AD174" s="47"/>
      <c r="AE174" s="47"/>
    </row>
    <row r="175" s="119" customFormat="true" ht="11.25" hidden="false" customHeight="true" outlineLevel="0" collapsed="false">
      <c r="A175" s="589"/>
      <c r="B175" s="47"/>
      <c r="C175" s="47"/>
      <c r="K175" s="45"/>
      <c r="L175" s="47"/>
      <c r="M175" s="47"/>
      <c r="N175" s="45"/>
      <c r="O175" s="45"/>
      <c r="P175" s="45"/>
      <c r="Q175" s="45"/>
      <c r="R175" s="47"/>
      <c r="S175" s="45"/>
      <c r="T175" s="45"/>
      <c r="U175" s="590"/>
      <c r="V175" s="45"/>
      <c r="W175" s="45"/>
      <c r="X175" s="45"/>
      <c r="Y175" s="45"/>
      <c r="Z175" s="45"/>
      <c r="AA175" s="45"/>
      <c r="AB175" s="47"/>
      <c r="AC175" s="47"/>
      <c r="AD175" s="47"/>
      <c r="AE175" s="47"/>
    </row>
    <row r="176" s="119" customFormat="true" ht="11.25" hidden="false" customHeight="true" outlineLevel="0" collapsed="false">
      <c r="A176" s="589"/>
      <c r="B176" s="47"/>
      <c r="C176" s="47"/>
      <c r="K176" s="45"/>
      <c r="L176" s="47"/>
      <c r="M176" s="47"/>
      <c r="N176" s="45"/>
      <c r="O176" s="45"/>
      <c r="P176" s="45"/>
      <c r="Q176" s="45"/>
      <c r="R176" s="47"/>
      <c r="S176" s="45"/>
      <c r="T176" s="45"/>
      <c r="U176" s="590"/>
      <c r="V176" s="45"/>
      <c r="W176" s="45"/>
      <c r="X176" s="45"/>
      <c r="Y176" s="45"/>
      <c r="Z176" s="45"/>
      <c r="AA176" s="45"/>
      <c r="AB176" s="47"/>
      <c r="AC176" s="47"/>
      <c r="AD176" s="47"/>
      <c r="AE176" s="47"/>
    </row>
    <row r="177" s="119" customFormat="true" ht="11.25" hidden="false" customHeight="true" outlineLevel="0" collapsed="false">
      <c r="A177" s="589"/>
      <c r="B177" s="47"/>
      <c r="C177" s="47"/>
      <c r="K177" s="45"/>
      <c r="L177" s="47"/>
      <c r="M177" s="47"/>
      <c r="N177" s="45"/>
      <c r="O177" s="45"/>
      <c r="P177" s="45"/>
      <c r="Q177" s="45"/>
      <c r="R177" s="47"/>
      <c r="S177" s="45"/>
      <c r="T177" s="45"/>
      <c r="U177" s="590"/>
      <c r="V177" s="45"/>
      <c r="W177" s="45"/>
      <c r="X177" s="45"/>
      <c r="Y177" s="45"/>
      <c r="Z177" s="45"/>
      <c r="AA177" s="45"/>
      <c r="AB177" s="47"/>
      <c r="AC177" s="47"/>
      <c r="AD177" s="47"/>
      <c r="AE177" s="47"/>
    </row>
    <row r="178" s="119" customFormat="true" ht="11.25" hidden="false" customHeight="true" outlineLevel="0" collapsed="false">
      <c r="A178" s="589"/>
      <c r="B178" s="47"/>
      <c r="C178" s="47"/>
      <c r="K178" s="45"/>
      <c r="L178" s="47"/>
      <c r="M178" s="47"/>
      <c r="N178" s="45"/>
      <c r="O178" s="45"/>
      <c r="P178" s="45"/>
      <c r="Q178" s="45"/>
      <c r="R178" s="47"/>
      <c r="S178" s="45"/>
      <c r="T178" s="45"/>
      <c r="U178" s="590"/>
      <c r="V178" s="45"/>
      <c r="W178" s="45"/>
      <c r="X178" s="45"/>
      <c r="Y178" s="45"/>
      <c r="Z178" s="45"/>
      <c r="AA178" s="45"/>
      <c r="AB178" s="47"/>
      <c r="AC178" s="47"/>
      <c r="AD178" s="47"/>
      <c r="AE178" s="47"/>
    </row>
    <row r="179" s="119" customFormat="true" ht="11.25" hidden="false" customHeight="true" outlineLevel="0" collapsed="false">
      <c r="A179" s="589"/>
      <c r="B179" s="47"/>
      <c r="C179" s="47"/>
      <c r="K179" s="45"/>
      <c r="L179" s="47"/>
      <c r="M179" s="47"/>
      <c r="N179" s="45"/>
      <c r="O179" s="45"/>
      <c r="P179" s="45"/>
      <c r="Q179" s="45"/>
      <c r="R179" s="47"/>
      <c r="S179" s="45"/>
      <c r="T179" s="45"/>
      <c r="U179" s="590"/>
      <c r="V179" s="45"/>
      <c r="W179" s="45"/>
      <c r="X179" s="45"/>
      <c r="Y179" s="45"/>
      <c r="Z179" s="45"/>
      <c r="AA179" s="45"/>
      <c r="AB179" s="47"/>
      <c r="AC179" s="47"/>
      <c r="AD179" s="47"/>
      <c r="AE179" s="47"/>
    </row>
    <row r="180" s="119" customFormat="true" ht="11.25" hidden="false" customHeight="true" outlineLevel="0" collapsed="false">
      <c r="A180" s="589"/>
      <c r="B180" s="47"/>
      <c r="C180" s="47"/>
      <c r="K180" s="45"/>
      <c r="L180" s="47"/>
      <c r="M180" s="47"/>
      <c r="N180" s="45"/>
      <c r="O180" s="45"/>
      <c r="P180" s="45"/>
      <c r="Q180" s="45"/>
      <c r="R180" s="47"/>
      <c r="S180" s="45"/>
      <c r="T180" s="45"/>
      <c r="U180" s="590"/>
      <c r="V180" s="45"/>
      <c r="W180" s="45"/>
      <c r="X180" s="45"/>
      <c r="Y180" s="45"/>
      <c r="Z180" s="45"/>
      <c r="AA180" s="45"/>
      <c r="AB180" s="47"/>
      <c r="AC180" s="47"/>
      <c r="AD180" s="47"/>
      <c r="AE180" s="47"/>
    </row>
    <row r="181" s="119" customFormat="true" ht="11.25" hidden="false" customHeight="true" outlineLevel="0" collapsed="false">
      <c r="A181" s="589"/>
      <c r="B181" s="47"/>
      <c r="C181" s="47"/>
      <c r="K181" s="45"/>
      <c r="L181" s="47"/>
      <c r="M181" s="47"/>
      <c r="N181" s="45"/>
      <c r="O181" s="45"/>
      <c r="P181" s="45"/>
      <c r="Q181" s="45"/>
      <c r="R181" s="47"/>
      <c r="S181" s="45"/>
      <c r="T181" s="45"/>
      <c r="U181" s="590"/>
      <c r="V181" s="45"/>
      <c r="W181" s="45"/>
      <c r="X181" s="45"/>
      <c r="Y181" s="45"/>
      <c r="Z181" s="45"/>
      <c r="AA181" s="45"/>
      <c r="AB181" s="47"/>
      <c r="AC181" s="47"/>
      <c r="AD181" s="47"/>
      <c r="AE181" s="47"/>
    </row>
    <row r="182" s="119" customFormat="true" ht="11.25" hidden="false" customHeight="true" outlineLevel="0" collapsed="false">
      <c r="A182" s="589"/>
      <c r="B182" s="47"/>
      <c r="C182" s="47"/>
      <c r="K182" s="45"/>
      <c r="L182" s="47"/>
      <c r="M182" s="47"/>
      <c r="N182" s="45"/>
      <c r="O182" s="45"/>
      <c r="P182" s="45"/>
      <c r="Q182" s="45"/>
      <c r="R182" s="47"/>
      <c r="S182" s="45"/>
      <c r="T182" s="45"/>
      <c r="U182" s="590"/>
      <c r="V182" s="45"/>
      <c r="W182" s="45"/>
      <c r="X182" s="45"/>
      <c r="Y182" s="45"/>
      <c r="Z182" s="45"/>
      <c r="AA182" s="45"/>
      <c r="AB182" s="47"/>
      <c r="AC182" s="47"/>
      <c r="AD182" s="47"/>
      <c r="AE182" s="47"/>
    </row>
    <row r="183" s="119" customFormat="true" ht="11.25" hidden="false" customHeight="true" outlineLevel="0" collapsed="false">
      <c r="A183" s="589"/>
      <c r="B183" s="47"/>
      <c r="C183" s="47"/>
      <c r="K183" s="45"/>
      <c r="L183" s="47"/>
      <c r="M183" s="47"/>
      <c r="N183" s="45"/>
      <c r="O183" s="45"/>
      <c r="P183" s="45"/>
      <c r="Q183" s="45"/>
      <c r="R183" s="47"/>
      <c r="S183" s="45"/>
      <c r="T183" s="45"/>
      <c r="U183" s="590"/>
      <c r="V183" s="45"/>
      <c r="W183" s="45"/>
      <c r="X183" s="45"/>
      <c r="Y183" s="45"/>
      <c r="Z183" s="45"/>
      <c r="AA183" s="45"/>
      <c r="AB183" s="47"/>
      <c r="AC183" s="47"/>
      <c r="AD183" s="47"/>
      <c r="AE183" s="47"/>
    </row>
    <row r="184" s="119" customFormat="true" ht="11.25" hidden="false" customHeight="true" outlineLevel="0" collapsed="false">
      <c r="A184" s="589"/>
      <c r="B184" s="47"/>
      <c r="C184" s="47"/>
      <c r="K184" s="45"/>
      <c r="L184" s="47"/>
      <c r="M184" s="47"/>
      <c r="N184" s="45"/>
      <c r="O184" s="45"/>
      <c r="P184" s="45"/>
      <c r="Q184" s="45"/>
      <c r="R184" s="47"/>
      <c r="S184" s="45"/>
      <c r="T184" s="45"/>
      <c r="U184" s="590"/>
      <c r="V184" s="45"/>
      <c r="W184" s="45"/>
      <c r="X184" s="45"/>
      <c r="Y184" s="45"/>
      <c r="Z184" s="45"/>
      <c r="AA184" s="45"/>
      <c r="AB184" s="47"/>
      <c r="AC184" s="47"/>
      <c r="AD184" s="47"/>
      <c r="AE184" s="47"/>
    </row>
    <row r="185" s="119" customFormat="true" ht="11.25" hidden="false" customHeight="true" outlineLevel="0" collapsed="false">
      <c r="A185" s="589"/>
      <c r="B185" s="47"/>
      <c r="C185" s="47"/>
      <c r="K185" s="45"/>
      <c r="L185" s="47"/>
      <c r="M185" s="47"/>
      <c r="N185" s="45"/>
      <c r="O185" s="45"/>
      <c r="P185" s="45"/>
      <c r="Q185" s="45"/>
      <c r="R185" s="47"/>
      <c r="S185" s="45"/>
      <c r="T185" s="45"/>
      <c r="U185" s="590"/>
      <c r="V185" s="45"/>
      <c r="W185" s="45"/>
      <c r="X185" s="45"/>
      <c r="Y185" s="45"/>
      <c r="Z185" s="45"/>
      <c r="AA185" s="45"/>
      <c r="AB185" s="47"/>
      <c r="AC185" s="47"/>
      <c r="AD185" s="47"/>
      <c r="AE185" s="47"/>
    </row>
    <row r="186" s="119" customFormat="true" ht="11.25" hidden="false" customHeight="true" outlineLevel="0" collapsed="false">
      <c r="A186" s="589"/>
      <c r="B186" s="47"/>
      <c r="C186" s="47"/>
      <c r="K186" s="45"/>
      <c r="L186" s="47"/>
      <c r="M186" s="47"/>
      <c r="N186" s="45"/>
      <c r="O186" s="45"/>
      <c r="P186" s="45"/>
      <c r="Q186" s="45"/>
      <c r="R186" s="47"/>
      <c r="S186" s="45"/>
      <c r="T186" s="45"/>
      <c r="U186" s="590"/>
      <c r="V186" s="45"/>
      <c r="W186" s="45"/>
      <c r="X186" s="45"/>
      <c r="Y186" s="45"/>
      <c r="Z186" s="45"/>
      <c r="AA186" s="45"/>
      <c r="AB186" s="47"/>
      <c r="AC186" s="47"/>
      <c r="AD186" s="47"/>
      <c r="AE186" s="47"/>
    </row>
    <row r="187" s="119" customFormat="true" ht="11.25" hidden="false" customHeight="true" outlineLevel="0" collapsed="false">
      <c r="A187" s="589"/>
      <c r="B187" s="47"/>
      <c r="C187" s="47"/>
      <c r="K187" s="45"/>
      <c r="L187" s="47"/>
      <c r="M187" s="47"/>
      <c r="N187" s="45"/>
      <c r="O187" s="45"/>
      <c r="P187" s="45"/>
      <c r="Q187" s="45"/>
      <c r="R187" s="47"/>
      <c r="S187" s="45"/>
      <c r="T187" s="45"/>
      <c r="U187" s="590"/>
      <c r="V187" s="45"/>
      <c r="W187" s="45"/>
      <c r="X187" s="45"/>
      <c r="Y187" s="45"/>
      <c r="Z187" s="45"/>
      <c r="AA187" s="45"/>
      <c r="AB187" s="47"/>
      <c r="AC187" s="47"/>
      <c r="AD187" s="47"/>
      <c r="AE187" s="47"/>
    </row>
    <row r="188" s="119" customFormat="true" ht="11.25" hidden="false" customHeight="true" outlineLevel="0" collapsed="false">
      <c r="A188" s="589"/>
      <c r="B188" s="47"/>
      <c r="C188" s="47"/>
      <c r="K188" s="45"/>
      <c r="L188" s="47"/>
      <c r="M188" s="47"/>
      <c r="N188" s="45"/>
      <c r="O188" s="45"/>
      <c r="P188" s="45"/>
      <c r="Q188" s="45"/>
      <c r="R188" s="47"/>
      <c r="S188" s="45"/>
      <c r="T188" s="45"/>
      <c r="U188" s="590"/>
      <c r="V188" s="45"/>
      <c r="W188" s="45"/>
      <c r="X188" s="45"/>
      <c r="Y188" s="45"/>
      <c r="Z188" s="45"/>
      <c r="AA188" s="45"/>
      <c r="AB188" s="47"/>
      <c r="AC188" s="47"/>
      <c r="AD188" s="47"/>
      <c r="AE188" s="47"/>
    </row>
    <row r="189" s="119" customFormat="true" ht="11.25" hidden="false" customHeight="true" outlineLevel="0" collapsed="false">
      <c r="A189" s="589"/>
      <c r="B189" s="47"/>
      <c r="C189" s="47"/>
      <c r="K189" s="45"/>
      <c r="L189" s="47"/>
      <c r="M189" s="47"/>
      <c r="N189" s="45"/>
      <c r="O189" s="45"/>
      <c r="P189" s="45"/>
      <c r="Q189" s="45"/>
      <c r="R189" s="47"/>
      <c r="S189" s="45"/>
      <c r="T189" s="45"/>
      <c r="U189" s="590"/>
      <c r="V189" s="45"/>
      <c r="W189" s="45"/>
      <c r="X189" s="45"/>
      <c r="Y189" s="45"/>
      <c r="Z189" s="45"/>
      <c r="AA189" s="45"/>
      <c r="AB189" s="47"/>
      <c r="AC189" s="47"/>
      <c r="AD189" s="47"/>
      <c r="AE189" s="47"/>
    </row>
    <row r="190" s="119" customFormat="true" ht="11.25" hidden="false" customHeight="true" outlineLevel="0" collapsed="false">
      <c r="A190" s="589"/>
      <c r="B190" s="47"/>
      <c r="C190" s="47"/>
      <c r="K190" s="45"/>
      <c r="L190" s="47"/>
      <c r="M190" s="47"/>
      <c r="N190" s="45"/>
      <c r="O190" s="45"/>
      <c r="P190" s="45"/>
      <c r="Q190" s="45"/>
      <c r="R190" s="47"/>
      <c r="S190" s="45"/>
      <c r="T190" s="45"/>
      <c r="U190" s="590"/>
      <c r="V190" s="45"/>
      <c r="W190" s="45"/>
      <c r="X190" s="45"/>
      <c r="Y190" s="45"/>
      <c r="Z190" s="45"/>
      <c r="AA190" s="45"/>
      <c r="AB190" s="47"/>
      <c r="AC190" s="47"/>
      <c r="AD190" s="47"/>
      <c r="AE190" s="47"/>
    </row>
    <row r="191" s="119" customFormat="true" ht="11.25" hidden="false" customHeight="true" outlineLevel="0" collapsed="false">
      <c r="A191" s="589"/>
      <c r="B191" s="47"/>
      <c r="C191" s="47"/>
      <c r="K191" s="45"/>
      <c r="L191" s="47"/>
      <c r="M191" s="47"/>
      <c r="N191" s="45"/>
      <c r="O191" s="45"/>
      <c r="P191" s="45"/>
      <c r="Q191" s="45"/>
      <c r="R191" s="47"/>
      <c r="S191" s="45"/>
      <c r="T191" s="45"/>
      <c r="U191" s="590"/>
      <c r="V191" s="45"/>
      <c r="W191" s="45"/>
      <c r="X191" s="45"/>
      <c r="Y191" s="45"/>
      <c r="Z191" s="45"/>
      <c r="AA191" s="45"/>
      <c r="AB191" s="47"/>
      <c r="AC191" s="47"/>
      <c r="AD191" s="47"/>
      <c r="AE191" s="47"/>
    </row>
    <row r="192" s="119" customFormat="true" ht="11.25" hidden="false" customHeight="true" outlineLevel="0" collapsed="false">
      <c r="A192" s="589"/>
      <c r="B192" s="47"/>
      <c r="C192" s="47"/>
      <c r="K192" s="45"/>
      <c r="L192" s="47"/>
      <c r="M192" s="47"/>
      <c r="N192" s="45"/>
      <c r="O192" s="45"/>
      <c r="P192" s="45"/>
      <c r="Q192" s="45"/>
      <c r="R192" s="47"/>
      <c r="S192" s="45"/>
      <c r="T192" s="45"/>
      <c r="U192" s="590"/>
      <c r="V192" s="45"/>
      <c r="W192" s="45"/>
      <c r="X192" s="45"/>
      <c r="Y192" s="45"/>
      <c r="Z192" s="45"/>
      <c r="AA192" s="45"/>
      <c r="AB192" s="47"/>
      <c r="AC192" s="47"/>
      <c r="AD192" s="47"/>
      <c r="AE192" s="47"/>
    </row>
    <row r="193" s="119" customFormat="true" ht="11.25" hidden="false" customHeight="true" outlineLevel="0" collapsed="false">
      <c r="A193" s="589"/>
      <c r="B193" s="47"/>
      <c r="C193" s="47"/>
      <c r="K193" s="45"/>
      <c r="L193" s="47"/>
      <c r="M193" s="47"/>
      <c r="N193" s="45"/>
      <c r="O193" s="45"/>
      <c r="P193" s="45"/>
      <c r="Q193" s="45"/>
      <c r="R193" s="47"/>
      <c r="S193" s="45"/>
      <c r="T193" s="45"/>
      <c r="U193" s="590"/>
      <c r="V193" s="45"/>
      <c r="W193" s="45"/>
      <c r="X193" s="45"/>
      <c r="Y193" s="45"/>
      <c r="Z193" s="45"/>
      <c r="AA193" s="45"/>
      <c r="AB193" s="47"/>
      <c r="AC193" s="47"/>
      <c r="AD193" s="47"/>
      <c r="AE193" s="47"/>
    </row>
    <row r="194" s="119" customFormat="true" ht="11.25" hidden="false" customHeight="true" outlineLevel="0" collapsed="false">
      <c r="A194" s="589"/>
      <c r="B194" s="47"/>
      <c r="C194" s="47"/>
      <c r="K194" s="45"/>
      <c r="L194" s="47"/>
      <c r="M194" s="47"/>
      <c r="N194" s="45"/>
      <c r="O194" s="45"/>
      <c r="P194" s="45"/>
      <c r="Q194" s="45"/>
      <c r="R194" s="47"/>
      <c r="S194" s="45"/>
      <c r="T194" s="45"/>
      <c r="U194" s="590"/>
      <c r="V194" s="45"/>
      <c r="W194" s="45"/>
      <c r="X194" s="45"/>
      <c r="Y194" s="45"/>
      <c r="Z194" s="45"/>
      <c r="AA194" s="45"/>
      <c r="AB194" s="47"/>
      <c r="AC194" s="47"/>
      <c r="AD194" s="47"/>
      <c r="AE194" s="47"/>
    </row>
    <row r="195" s="119" customFormat="true" ht="11.25" hidden="false" customHeight="true" outlineLevel="0" collapsed="false">
      <c r="A195" s="589"/>
      <c r="B195" s="47"/>
      <c r="C195" s="47"/>
      <c r="K195" s="45"/>
      <c r="L195" s="47"/>
      <c r="M195" s="47"/>
      <c r="N195" s="45"/>
      <c r="O195" s="45"/>
      <c r="P195" s="45"/>
      <c r="Q195" s="45"/>
      <c r="R195" s="47"/>
      <c r="S195" s="45"/>
      <c r="T195" s="45"/>
      <c r="U195" s="590"/>
      <c r="V195" s="45"/>
      <c r="W195" s="45"/>
      <c r="X195" s="45"/>
      <c r="Y195" s="45"/>
      <c r="Z195" s="45"/>
      <c r="AA195" s="45"/>
      <c r="AB195" s="47"/>
      <c r="AC195" s="47"/>
      <c r="AD195" s="47"/>
      <c r="AE195" s="47"/>
    </row>
    <row r="196" s="119" customFormat="true" ht="11.25" hidden="false" customHeight="true" outlineLevel="0" collapsed="false">
      <c r="A196" s="589"/>
      <c r="B196" s="47"/>
      <c r="C196" s="47"/>
      <c r="K196" s="45"/>
      <c r="L196" s="47"/>
      <c r="M196" s="47"/>
      <c r="N196" s="45"/>
      <c r="O196" s="45"/>
      <c r="P196" s="45"/>
      <c r="Q196" s="45"/>
      <c r="R196" s="47"/>
      <c r="S196" s="45"/>
      <c r="T196" s="45"/>
      <c r="U196" s="590"/>
      <c r="V196" s="45"/>
      <c r="W196" s="45"/>
      <c r="X196" s="45"/>
      <c r="Y196" s="45"/>
      <c r="Z196" s="45"/>
      <c r="AA196" s="45"/>
      <c r="AB196" s="47"/>
      <c r="AC196" s="47"/>
      <c r="AD196" s="47"/>
      <c r="AE196" s="47"/>
    </row>
    <row r="197" s="119" customFormat="true" ht="11.25" hidden="false" customHeight="true" outlineLevel="0" collapsed="false">
      <c r="A197" s="589"/>
      <c r="B197" s="47"/>
      <c r="C197" s="47"/>
      <c r="K197" s="45"/>
      <c r="L197" s="47"/>
      <c r="M197" s="47"/>
      <c r="N197" s="45"/>
      <c r="O197" s="45"/>
      <c r="P197" s="45"/>
      <c r="Q197" s="45"/>
      <c r="R197" s="47"/>
      <c r="S197" s="45"/>
      <c r="T197" s="45"/>
      <c r="U197" s="590"/>
      <c r="V197" s="45"/>
      <c r="W197" s="45"/>
      <c r="X197" s="45"/>
      <c r="Y197" s="45"/>
      <c r="Z197" s="45"/>
      <c r="AA197" s="45"/>
      <c r="AB197" s="47"/>
      <c r="AC197" s="47"/>
      <c r="AD197" s="47"/>
      <c r="AE197" s="47"/>
    </row>
    <row r="198" s="119" customFormat="true" ht="11.25" hidden="false" customHeight="true" outlineLevel="0" collapsed="false">
      <c r="A198" s="589"/>
      <c r="B198" s="47"/>
      <c r="C198" s="47"/>
      <c r="K198" s="45"/>
      <c r="L198" s="47"/>
      <c r="M198" s="47"/>
      <c r="N198" s="45"/>
      <c r="O198" s="45"/>
      <c r="P198" s="45"/>
      <c r="Q198" s="45"/>
      <c r="R198" s="47"/>
      <c r="S198" s="45"/>
      <c r="T198" s="45"/>
      <c r="U198" s="590"/>
      <c r="V198" s="45"/>
      <c r="W198" s="45"/>
      <c r="X198" s="45"/>
      <c r="Y198" s="45"/>
      <c r="Z198" s="45"/>
      <c r="AA198" s="45"/>
      <c r="AB198" s="47"/>
      <c r="AC198" s="47"/>
      <c r="AD198" s="47"/>
      <c r="AE198" s="47"/>
    </row>
    <row r="199" s="119" customFormat="true" ht="11.25" hidden="false" customHeight="true" outlineLevel="0" collapsed="false">
      <c r="A199" s="589"/>
      <c r="B199" s="47"/>
      <c r="C199" s="47"/>
      <c r="K199" s="45"/>
      <c r="L199" s="47"/>
      <c r="M199" s="47"/>
      <c r="N199" s="45"/>
      <c r="O199" s="45"/>
      <c r="P199" s="45"/>
      <c r="Q199" s="45"/>
      <c r="R199" s="47"/>
      <c r="S199" s="45"/>
      <c r="T199" s="45"/>
      <c r="U199" s="590"/>
      <c r="V199" s="45"/>
      <c r="W199" s="45"/>
      <c r="X199" s="45"/>
      <c r="Y199" s="45"/>
      <c r="Z199" s="45"/>
      <c r="AA199" s="45"/>
      <c r="AB199" s="47"/>
      <c r="AC199" s="47"/>
      <c r="AD199" s="47"/>
      <c r="AE199" s="47"/>
    </row>
    <row r="200" s="119" customFormat="true" ht="11.25" hidden="false" customHeight="true" outlineLevel="0" collapsed="false">
      <c r="A200" s="589"/>
      <c r="B200" s="47"/>
      <c r="C200" s="47"/>
      <c r="K200" s="45"/>
      <c r="L200" s="47"/>
      <c r="M200" s="47"/>
      <c r="N200" s="45"/>
      <c r="O200" s="45"/>
      <c r="P200" s="45"/>
      <c r="Q200" s="45"/>
      <c r="R200" s="47"/>
      <c r="S200" s="45"/>
      <c r="T200" s="45"/>
      <c r="U200" s="590"/>
      <c r="V200" s="45"/>
      <c r="W200" s="45"/>
      <c r="X200" s="45"/>
      <c r="Y200" s="45"/>
      <c r="Z200" s="45"/>
      <c r="AA200" s="45"/>
      <c r="AB200" s="47"/>
      <c r="AC200" s="47"/>
      <c r="AD200" s="47"/>
      <c r="AE200" s="47"/>
    </row>
    <row r="201" s="119" customFormat="true" ht="11.25" hidden="false" customHeight="true" outlineLevel="0" collapsed="false">
      <c r="A201" s="589"/>
      <c r="B201" s="47"/>
      <c r="C201" s="47"/>
      <c r="K201" s="45"/>
      <c r="L201" s="47"/>
      <c r="M201" s="47"/>
      <c r="N201" s="45"/>
      <c r="O201" s="45"/>
      <c r="P201" s="45"/>
      <c r="Q201" s="45"/>
      <c r="R201" s="47"/>
      <c r="S201" s="45"/>
      <c r="T201" s="45"/>
      <c r="U201" s="590"/>
      <c r="V201" s="45"/>
      <c r="W201" s="45"/>
      <c r="X201" s="45"/>
      <c r="Y201" s="45"/>
      <c r="Z201" s="45"/>
      <c r="AA201" s="45"/>
      <c r="AB201" s="47"/>
      <c r="AC201" s="47"/>
      <c r="AD201" s="47"/>
      <c r="AE201" s="47"/>
    </row>
    <row r="202" s="119" customFormat="true" ht="11.25" hidden="false" customHeight="true" outlineLevel="0" collapsed="false">
      <c r="A202" s="589"/>
      <c r="B202" s="47"/>
      <c r="C202" s="47"/>
      <c r="K202" s="45"/>
      <c r="L202" s="47"/>
      <c r="M202" s="47"/>
      <c r="N202" s="45"/>
      <c r="O202" s="45"/>
      <c r="P202" s="45"/>
      <c r="Q202" s="45"/>
      <c r="R202" s="47"/>
      <c r="S202" s="45"/>
      <c r="T202" s="45"/>
      <c r="U202" s="590"/>
      <c r="V202" s="45"/>
      <c r="W202" s="45"/>
      <c r="X202" s="45"/>
      <c r="Y202" s="45"/>
      <c r="Z202" s="45"/>
      <c r="AA202" s="45"/>
      <c r="AB202" s="47"/>
      <c r="AC202" s="47"/>
      <c r="AD202" s="47"/>
      <c r="AE202" s="47"/>
    </row>
    <row r="203" s="119" customFormat="true" ht="11.25" hidden="false" customHeight="true" outlineLevel="0" collapsed="false">
      <c r="A203" s="589"/>
      <c r="B203" s="47"/>
      <c r="C203" s="47"/>
      <c r="K203" s="45"/>
      <c r="L203" s="47"/>
      <c r="M203" s="47"/>
      <c r="N203" s="45"/>
      <c r="O203" s="45"/>
      <c r="P203" s="45"/>
      <c r="Q203" s="45"/>
      <c r="R203" s="47"/>
      <c r="S203" s="45"/>
      <c r="T203" s="45"/>
      <c r="U203" s="590"/>
      <c r="V203" s="45"/>
      <c r="W203" s="45"/>
      <c r="X203" s="45"/>
      <c r="Y203" s="45"/>
      <c r="Z203" s="45"/>
      <c r="AA203" s="45"/>
      <c r="AB203" s="47"/>
      <c r="AC203" s="47"/>
      <c r="AD203" s="47"/>
      <c r="AE203" s="47"/>
    </row>
    <row r="204" s="119" customFormat="true" ht="11.25" hidden="false" customHeight="true" outlineLevel="0" collapsed="false">
      <c r="A204" s="589"/>
      <c r="B204" s="47"/>
      <c r="C204" s="47"/>
      <c r="K204" s="45"/>
      <c r="L204" s="47"/>
      <c r="M204" s="47"/>
      <c r="N204" s="45"/>
      <c r="O204" s="45"/>
      <c r="P204" s="45"/>
      <c r="Q204" s="45"/>
      <c r="R204" s="47"/>
      <c r="S204" s="45"/>
      <c r="T204" s="45"/>
      <c r="U204" s="590"/>
      <c r="V204" s="45"/>
      <c r="W204" s="45"/>
      <c r="X204" s="45"/>
      <c r="Y204" s="45"/>
      <c r="Z204" s="45"/>
      <c r="AA204" s="45"/>
      <c r="AB204" s="47"/>
      <c r="AC204" s="47"/>
      <c r="AD204" s="47"/>
      <c r="AE204" s="47"/>
    </row>
    <row r="208" customFormat="false" ht="11.25" hidden="false" customHeight="true" outlineLevel="0" collapsed="false">
      <c r="A208" s="656"/>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56"/>
      <c r="B209" s="42"/>
      <c r="K209" s="42"/>
      <c r="N209" s="42"/>
      <c r="O209" s="42"/>
      <c r="P209" s="42"/>
      <c r="Q209" s="42"/>
      <c r="S209" s="42"/>
      <c r="T209" s="42"/>
      <c r="U209" s="42"/>
      <c r="V209" s="42"/>
      <c r="W209" s="42"/>
      <c r="X209" s="42"/>
      <c r="Y209" s="42"/>
      <c r="Z209" s="42"/>
      <c r="AA209" s="42"/>
      <c r="AB209" s="42"/>
      <c r="AC209" s="42"/>
      <c r="AD209" s="42"/>
      <c r="AE209" s="42"/>
    </row>
    <row r="210" customFormat="false" ht="11.25" hidden="false" customHeight="true" outlineLevel="0" collapsed="false">
      <c r="A210" s="656"/>
      <c r="B210" s="42"/>
      <c r="K210" s="42"/>
      <c r="N210" s="42"/>
      <c r="O210" s="42"/>
      <c r="P210" s="42"/>
      <c r="Q210" s="42"/>
      <c r="S210" s="42"/>
      <c r="T210" s="42"/>
      <c r="U210" s="42"/>
      <c r="V210" s="42"/>
      <c r="W210" s="42"/>
      <c r="X210" s="42"/>
      <c r="Y210" s="42"/>
      <c r="Z210" s="42"/>
      <c r="AA210" s="42"/>
      <c r="AB210" s="42"/>
      <c r="AC210" s="42"/>
      <c r="AD210" s="42"/>
      <c r="AE210" s="42"/>
    </row>
    <row r="211" customFormat="false" ht="11.25" hidden="false" customHeight="true" outlineLevel="0" collapsed="false">
      <c r="A211" s="656"/>
      <c r="B211" s="42"/>
      <c r="K211" s="42"/>
      <c r="N211" s="42"/>
      <c r="O211" s="42"/>
      <c r="P211" s="42"/>
      <c r="Q211" s="42"/>
      <c r="S211" s="42"/>
      <c r="T211" s="42"/>
      <c r="U211" s="42"/>
      <c r="V211" s="42"/>
      <c r="W211" s="42"/>
      <c r="X211" s="42"/>
      <c r="Y211" s="42"/>
      <c r="Z211" s="42"/>
      <c r="AA211" s="42"/>
      <c r="AB211" s="42"/>
      <c r="AC211" s="42"/>
      <c r="AD211" s="42"/>
      <c r="AE211" s="42"/>
    </row>
    <row r="212" customFormat="false" ht="11.25" hidden="false" customHeight="true" outlineLevel="0" collapsed="false">
      <c r="A212" s="656"/>
      <c r="B212" s="42"/>
      <c r="K212" s="42"/>
      <c r="N212" s="42"/>
      <c r="O212" s="42"/>
      <c r="P212" s="42"/>
      <c r="Q212" s="42"/>
      <c r="S212" s="42"/>
      <c r="T212" s="42"/>
      <c r="U212" s="42"/>
      <c r="V212" s="42"/>
      <c r="W212" s="42"/>
      <c r="X212" s="42"/>
      <c r="Y212" s="42"/>
      <c r="Z212" s="42"/>
      <c r="AA212" s="42"/>
      <c r="AB212" s="42"/>
      <c r="AC212" s="42"/>
      <c r="AD212" s="42"/>
      <c r="AE212" s="42"/>
    </row>
    <row r="213" customFormat="false" ht="11.25" hidden="false" customHeight="true" outlineLevel="0" collapsed="false">
      <c r="A213" s="656"/>
      <c r="B213" s="42"/>
      <c r="K213" s="42"/>
      <c r="N213" s="42"/>
      <c r="O213" s="42"/>
      <c r="P213" s="42"/>
      <c r="Q213" s="42"/>
      <c r="S213" s="42"/>
      <c r="T213" s="42"/>
      <c r="U213" s="42"/>
      <c r="V213" s="42"/>
      <c r="W213" s="42"/>
      <c r="X213" s="42"/>
      <c r="Y213" s="42"/>
      <c r="Z213" s="42"/>
      <c r="AA213" s="42"/>
      <c r="AB213" s="42"/>
      <c r="AC213" s="42"/>
      <c r="AD213" s="42"/>
      <c r="AE213" s="42"/>
    </row>
    <row r="214" customFormat="false" ht="11.25" hidden="false" customHeight="true" outlineLevel="0" collapsed="false">
      <c r="A214" s="656"/>
      <c r="B214" s="42"/>
      <c r="K214" s="42"/>
      <c r="N214" s="42"/>
      <c r="O214" s="42"/>
      <c r="P214" s="42"/>
      <c r="Q214" s="42"/>
      <c r="S214" s="42"/>
      <c r="T214" s="42"/>
      <c r="U214" s="42"/>
      <c r="V214" s="42"/>
      <c r="W214" s="42"/>
      <c r="X214" s="42"/>
      <c r="Y214" s="42"/>
      <c r="Z214" s="42"/>
      <c r="AA214" s="42"/>
      <c r="AB214" s="42"/>
      <c r="AC214" s="42"/>
      <c r="AD214" s="42"/>
      <c r="AE214" s="42"/>
    </row>
    <row r="215" customFormat="false" ht="11.25" hidden="false" customHeight="true" outlineLevel="0" collapsed="false">
      <c r="A215" s="656"/>
      <c r="B215" s="42"/>
      <c r="K215" s="42"/>
      <c r="N215" s="42"/>
      <c r="O215" s="42"/>
      <c r="P215" s="42"/>
      <c r="Q215" s="42"/>
      <c r="S215" s="42"/>
      <c r="T215" s="42"/>
      <c r="U215" s="42"/>
      <c r="V215" s="42"/>
      <c r="W215" s="42"/>
      <c r="X215" s="42"/>
      <c r="Y215" s="42"/>
      <c r="Z215" s="42"/>
      <c r="AA215" s="42"/>
      <c r="AB215" s="42"/>
      <c r="AC215" s="42"/>
      <c r="AD215" s="42"/>
      <c r="AE215" s="42"/>
    </row>
    <row r="216" customFormat="false" ht="11.25" hidden="false" customHeight="true" outlineLevel="0" collapsed="false">
      <c r="A216" s="656"/>
      <c r="B216" s="42"/>
      <c r="K216" s="42"/>
      <c r="N216" s="42"/>
      <c r="O216" s="42"/>
      <c r="P216" s="42"/>
      <c r="Q216" s="42"/>
      <c r="S216" s="42"/>
      <c r="T216" s="42"/>
      <c r="U216" s="42"/>
      <c r="V216" s="42"/>
      <c r="W216" s="42"/>
      <c r="X216" s="42"/>
      <c r="Y216" s="42"/>
      <c r="Z216" s="42"/>
      <c r="AA216" s="42"/>
      <c r="AB216" s="42"/>
      <c r="AC216" s="42"/>
      <c r="AD216" s="42"/>
      <c r="AE216" s="42"/>
    </row>
    <row r="217" customFormat="false" ht="11.25" hidden="false" customHeight="true" outlineLevel="0" collapsed="false">
      <c r="A217" s="656"/>
      <c r="B217" s="42"/>
      <c r="K217" s="42"/>
      <c r="N217" s="42"/>
      <c r="O217" s="42"/>
      <c r="P217" s="42"/>
      <c r="Q217" s="42"/>
      <c r="S217" s="42"/>
      <c r="T217" s="42"/>
      <c r="U217" s="42"/>
      <c r="V217" s="42"/>
      <c r="W217" s="42"/>
      <c r="X217" s="42"/>
      <c r="Y217" s="42"/>
      <c r="Z217" s="42"/>
      <c r="AA217" s="42"/>
      <c r="AB217" s="42"/>
      <c r="AC217" s="42"/>
      <c r="AD217" s="42"/>
      <c r="AE217" s="42"/>
    </row>
    <row r="218" customFormat="false" ht="11.25" hidden="false" customHeight="true" outlineLevel="0" collapsed="false">
      <c r="A218" s="656"/>
      <c r="B218" s="42"/>
      <c r="K218" s="42"/>
      <c r="N218" s="42"/>
      <c r="O218" s="42"/>
      <c r="P218" s="42"/>
      <c r="Q218" s="42"/>
      <c r="S218" s="42"/>
      <c r="T218" s="42"/>
      <c r="U218" s="42"/>
      <c r="V218" s="42"/>
      <c r="W218" s="42"/>
      <c r="X218" s="42"/>
      <c r="Y218" s="42"/>
      <c r="Z218" s="42"/>
      <c r="AA218" s="42"/>
      <c r="AB218" s="42"/>
      <c r="AC218" s="42"/>
      <c r="AD218" s="42"/>
      <c r="AE218" s="42"/>
    </row>
  </sheetData>
  <mergeCells count="9">
    <mergeCell ref="E6:I6"/>
    <mergeCell ref="E7:I7"/>
    <mergeCell ref="F10:G10"/>
    <mergeCell ref="J10:J14"/>
    <mergeCell ref="F11:G11"/>
    <mergeCell ref="F12:G12"/>
    <mergeCell ref="E13:G13"/>
    <mergeCell ref="F48:J48"/>
    <mergeCell ref="F49:J49"/>
  </mergeCells>
  <dataValidations count="5">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I3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I2 H15:I15 H17:I32 H35:I35 H38:I39 H44:I4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43:I4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6:I37"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40:I42"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0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true" outlineLevel="0" max="1" min="1" style="589" width="10.71"/>
    <col collapsed="false" customWidth="true" hidden="true" outlineLevel="0" max="2" min="2" style="45" width="16.85"/>
    <col collapsed="false" customWidth="true" hidden="true" outlineLevel="0" max="3" min="3" style="47"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2"/>
    <col collapsed="false" customWidth="true" hidden="true" outlineLevel="0" max="8" min="8" style="42" width="40.71"/>
    <col collapsed="false" customWidth="true" hidden="false" outlineLevel="0" max="9" min="9" style="42" width="40.71"/>
    <col collapsed="false" customWidth="true" hidden="false" outlineLevel="0" max="10" min="10" style="42" width="102.85"/>
    <col collapsed="false" customWidth="true" hidden="false" outlineLevel="0" max="11" min="11" style="45" width="9.71"/>
    <col collapsed="false" customWidth="true" hidden="false" outlineLevel="0" max="12" min="12" style="47" width="5.28"/>
    <col collapsed="false" customWidth="true" hidden="false" outlineLevel="0" max="13" min="13" style="47" width="3.71"/>
    <col collapsed="false" customWidth="true" hidden="false" outlineLevel="0" max="17" min="14" style="45" width="3.71"/>
    <col collapsed="false" customWidth="true" hidden="false" outlineLevel="0" max="18" min="18" style="47" width="10.57"/>
    <col collapsed="false" customWidth="true" hidden="false" outlineLevel="0" max="19" min="19" style="45" width="34.71"/>
    <col collapsed="false" customWidth="true" hidden="false" outlineLevel="0" max="20" min="20" style="45" width="9.42"/>
    <col collapsed="false" customWidth="false" hidden="false" outlineLevel="0" max="21" min="21" style="590" width="9.14"/>
    <col collapsed="false" customWidth="false" hidden="false" outlineLevel="0" max="31" min="22" style="45" width="9.14"/>
  </cols>
  <sheetData>
    <row r="1" s="45" customFormat="true" ht="11.25" hidden="true" customHeight="true" outlineLevel="0" collapsed="false">
      <c r="A1" s="589"/>
      <c r="C1" s="47"/>
      <c r="H1" s="45" t="n">
        <v>4</v>
      </c>
      <c r="I1" s="45" t="n">
        <v>4</v>
      </c>
      <c r="L1" s="47"/>
      <c r="M1" s="47"/>
      <c r="R1" s="47"/>
    </row>
    <row r="2" s="45" customFormat="true" ht="22.5" hidden="true" customHeight="true" outlineLevel="0" collapsed="false">
      <c r="A2" s="589"/>
      <c r="C2" s="47"/>
      <c r="D2" s="598"/>
      <c r="E2" s="145"/>
      <c r="F2" s="147"/>
      <c r="G2" s="145" t="s">
        <v>573</v>
      </c>
      <c r="H2" s="438"/>
      <c r="I2" s="438"/>
      <c r="J2" s="599" t="s">
        <v>576</v>
      </c>
      <c r="K2" s="593"/>
      <c r="L2" s="47"/>
      <c r="M2" s="47"/>
      <c r="R2" s="47"/>
      <c r="U2" s="590"/>
    </row>
    <row r="3" customFormat="false" ht="11.25" hidden="true" customHeight="true" outlineLevel="0" collapsed="false"/>
    <row r="4" s="45" customFormat="true" ht="11.25" hidden="true" customHeight="true" outlineLevel="0" collapsed="false">
      <c r="A4" s="589"/>
      <c r="C4" s="47"/>
      <c r="J4" s="45" t="n">
        <v>4</v>
      </c>
      <c r="L4" s="47"/>
      <c r="M4" s="47"/>
      <c r="R4" s="47"/>
      <c r="U4" s="590"/>
    </row>
    <row r="6" customFormat="false" ht="32.25" hidden="false" customHeight="true" outlineLevel="0" collapsed="false">
      <c r="E6" s="212" t="s">
        <v>710</v>
      </c>
      <c r="F6" s="212"/>
      <c r="G6" s="212"/>
      <c r="H6" s="212"/>
      <c r="I6" s="212"/>
      <c r="J6" s="214"/>
    </row>
    <row r="7" customFormat="false" ht="24" hidden="false" customHeight="true" outlineLevel="0" collapsed="false">
      <c r="E7" s="265" t="str">
        <f aca="false">IF(org=0,"Не определено",org)</f>
        <v>ООО "Газпром теплоэнерго Ярославль"</v>
      </c>
      <c r="F7" s="265"/>
      <c r="G7" s="265"/>
      <c r="H7" s="265"/>
      <c r="I7" s="265"/>
    </row>
    <row r="8" customFormat="false" ht="11.25" hidden="false" customHeight="true" outlineLevel="0" collapsed="false">
      <c r="E8" s="602"/>
      <c r="F8" s="602"/>
      <c r="G8" s="602"/>
      <c r="H8" s="602"/>
      <c r="I8" s="602"/>
    </row>
    <row r="9" s="47" customFormat="true" ht="0.75" hidden="false" customHeight="true" outlineLevel="0" collapsed="false">
      <c r="A9" s="459"/>
      <c r="H9" s="603"/>
      <c r="I9" s="603" t="s">
        <v>124</v>
      </c>
    </row>
    <row r="10" customFormat="false" ht="11.25" hidden="false" customHeight="true" outlineLevel="0" collapsed="false">
      <c r="E10" s="604"/>
      <c r="F10" s="605" t="s">
        <v>113</v>
      </c>
      <c r="G10" s="605"/>
      <c r="H10" s="606" t="str">
        <f aca="false">IF(H9="","",INDEX(DIFFERENTIATION_UNMERGE_VD,MATCH(H9,DIFFERENTIATION_ID_DIFF,0)))</f>
        <v/>
      </c>
      <c r="I10" s="606" t="n">
        <f aca="false">IF(I9="","",INDEX(DIFFERENTIATION_UNMERGE_VD,MATCH(I9,DIFFERENTIATION_ID_DIFF,0)))</f>
        <v>0</v>
      </c>
      <c r="J10" s="133"/>
    </row>
    <row r="11" customFormat="false" ht="11.25" hidden="false" customHeight="true" outlineLevel="0" collapsed="false">
      <c r="E11" s="604"/>
      <c r="F11" s="605" t="s">
        <v>585</v>
      </c>
      <c r="G11" s="605"/>
      <c r="H11" s="606" t="str">
        <f aca="false">IF(H9="","",INDEX(DIFFERENTIATION_UNMERGE_AREA,MATCH(H9,DIFFERENTIATION_ID_DIFF,0)))</f>
        <v/>
      </c>
      <c r="I11" s="606" t="str">
        <f aca="false">IF(I9="","",INDEX(DIFFERENTIATION_UNMERGE_AREA,MATCH(I9,DIFFERENTIATION_ID_DIFF,0)))</f>
        <v/>
      </c>
      <c r="J11" s="133"/>
    </row>
    <row r="12" customFormat="false" ht="11.25" hidden="true" customHeight="true" outlineLevel="0" collapsed="false">
      <c r="E12" s="680"/>
      <c r="F12" s="681" t="s">
        <v>586</v>
      </c>
      <c r="G12" s="681"/>
      <c r="H12" s="682" t="str">
        <f aca="false">IF(H9="","",INDEX(DIFFERENTIATION_UNMERGE_SYSTEM,MATCH(H9,DIFFERENTIATION_ID_DIFF,0)))</f>
        <v/>
      </c>
      <c r="I12" s="682" t="str">
        <f aca="false">IF(I9="","",INDEX(DIFFERENTIATION_UNMERGE_SYSTEM,MATCH(I9,DIFFERENTIATION_ID_DIFF,0)))</f>
        <v>без дифференциации</v>
      </c>
      <c r="J12" s="133"/>
    </row>
    <row r="13" customFormat="false" ht="11.25" hidden="false" customHeight="true" outlineLevel="0" collapsed="false">
      <c r="E13" s="607" t="s">
        <v>316</v>
      </c>
      <c r="F13" s="607"/>
      <c r="G13" s="607"/>
      <c r="H13" s="608"/>
      <c r="I13" s="608"/>
      <c r="J13" s="133"/>
    </row>
    <row r="14" customFormat="false" ht="22.5" hidden="false" customHeight="true" outlineLevel="0" collapsed="false">
      <c r="E14" s="145" t="s">
        <v>84</v>
      </c>
      <c r="F14" s="145" t="s">
        <v>318</v>
      </c>
      <c r="G14" s="145" t="s">
        <v>587</v>
      </c>
      <c r="H14" s="145" t="s">
        <v>319</v>
      </c>
      <c r="I14" s="145" t="s">
        <v>319</v>
      </c>
      <c r="J14" s="133"/>
    </row>
    <row r="15" customFormat="false" ht="18.75" hidden="false" customHeight="true" outlineLevel="0" collapsed="false">
      <c r="D15" s="113"/>
      <c r="E15" s="683" t="s">
        <v>117</v>
      </c>
      <c r="F15" s="609" t="s">
        <v>711</v>
      </c>
      <c r="G15" s="145" t="s">
        <v>573</v>
      </c>
      <c r="H15" s="610"/>
      <c r="I15" s="610"/>
      <c r="J15" s="420" t="s">
        <v>712</v>
      </c>
      <c r="K15" s="593" t="s">
        <v>640</v>
      </c>
    </row>
    <row r="16" customFormat="false" ht="22.5" hidden="false" customHeight="true" outlineLevel="0" collapsed="false">
      <c r="D16" s="113"/>
      <c r="E16" s="683" t="s">
        <v>99</v>
      </c>
      <c r="F16" s="272" t="s">
        <v>713</v>
      </c>
      <c r="G16" s="145" t="s">
        <v>573</v>
      </c>
      <c r="H16" s="611" t="n">
        <f aca="false">SUM(H17,H20:H27)</f>
        <v>0</v>
      </c>
      <c r="I16" s="611" t="n">
        <f aca="false">SUM(I17,I20:I27)</f>
        <v>0</v>
      </c>
      <c r="J16" s="420" t="s">
        <v>714</v>
      </c>
      <c r="K16" s="593" t="s">
        <v>640</v>
      </c>
    </row>
    <row r="17" customFormat="false" ht="33.75" hidden="false" customHeight="true" outlineLevel="0" collapsed="false">
      <c r="D17" s="113"/>
      <c r="E17" s="684" t="s">
        <v>643</v>
      </c>
      <c r="F17" s="205" t="s">
        <v>715</v>
      </c>
      <c r="G17" s="501" t="s">
        <v>573</v>
      </c>
      <c r="H17" s="610"/>
      <c r="I17" s="610"/>
      <c r="J17" s="420" t="s">
        <v>716</v>
      </c>
      <c r="K17" s="593"/>
    </row>
    <row r="18" customFormat="false" ht="18.75" hidden="false" customHeight="true" outlineLevel="0" collapsed="false">
      <c r="D18" s="113"/>
      <c r="E18" s="684" t="s">
        <v>646</v>
      </c>
      <c r="F18" s="688" t="s">
        <v>717</v>
      </c>
      <c r="G18" s="501" t="s">
        <v>573</v>
      </c>
      <c r="H18" s="610"/>
      <c r="I18" s="610"/>
      <c r="J18" s="420"/>
      <c r="K18" s="593"/>
    </row>
    <row r="19" customFormat="false" ht="22.5" hidden="false" customHeight="true" outlineLevel="0" collapsed="false">
      <c r="D19" s="113"/>
      <c r="E19" s="684" t="s">
        <v>649</v>
      </c>
      <c r="F19" s="688" t="s">
        <v>718</v>
      </c>
      <c r="G19" s="501" t="s">
        <v>573</v>
      </c>
      <c r="H19" s="610"/>
      <c r="I19" s="610"/>
      <c r="J19" s="420"/>
      <c r="K19" s="593"/>
    </row>
    <row r="20" customFormat="false" ht="33.75" hidden="false" customHeight="true" outlineLevel="0" collapsed="false">
      <c r="D20" s="113"/>
      <c r="E20" s="684" t="s">
        <v>323</v>
      </c>
      <c r="F20" s="205" t="s">
        <v>719</v>
      </c>
      <c r="G20" s="501" t="s">
        <v>573</v>
      </c>
      <c r="H20" s="610"/>
      <c r="I20" s="610"/>
      <c r="J20" s="420"/>
      <c r="K20" s="593"/>
    </row>
    <row r="21" customFormat="false" ht="33.75" hidden="false" customHeight="true" outlineLevel="0" collapsed="false">
      <c r="D21" s="113"/>
      <c r="E21" s="684" t="s">
        <v>326</v>
      </c>
      <c r="F21" s="205" t="s">
        <v>720</v>
      </c>
      <c r="G21" s="501" t="s">
        <v>573</v>
      </c>
      <c r="H21" s="610"/>
      <c r="I21" s="610"/>
      <c r="J21" s="420"/>
      <c r="K21" s="593"/>
    </row>
    <row r="22" customFormat="false" ht="56.25" hidden="false" customHeight="true" outlineLevel="0" collapsed="false">
      <c r="D22" s="113"/>
      <c r="E22" s="684" t="s">
        <v>663</v>
      </c>
      <c r="F22" s="205" t="s">
        <v>721</v>
      </c>
      <c r="G22" s="501" t="s">
        <v>573</v>
      </c>
      <c r="H22" s="610"/>
      <c r="I22" s="610"/>
      <c r="J22" s="420"/>
      <c r="K22" s="593"/>
    </row>
    <row r="23" customFormat="false" ht="33.75" hidden="false" customHeight="true" outlineLevel="0" collapsed="false">
      <c r="D23" s="113"/>
      <c r="E23" s="684" t="s">
        <v>670</v>
      </c>
      <c r="F23" s="205" t="s">
        <v>722</v>
      </c>
      <c r="G23" s="501" t="s">
        <v>573</v>
      </c>
      <c r="H23" s="610"/>
      <c r="I23" s="610"/>
      <c r="J23" s="420"/>
      <c r="K23" s="593"/>
    </row>
    <row r="24" customFormat="false" ht="33.75" hidden="false" customHeight="true" outlineLevel="0" collapsed="false">
      <c r="D24" s="113"/>
      <c r="E24" s="684" t="s">
        <v>672</v>
      </c>
      <c r="F24" s="205" t="s">
        <v>723</v>
      </c>
      <c r="G24" s="501" t="s">
        <v>573</v>
      </c>
      <c r="H24" s="610"/>
      <c r="I24" s="610"/>
      <c r="J24" s="420"/>
      <c r="K24" s="593"/>
    </row>
    <row r="25" customFormat="false" ht="22.5" hidden="false" customHeight="true" outlineLevel="0" collapsed="false">
      <c r="D25" s="113"/>
      <c r="E25" s="684" t="s">
        <v>674</v>
      </c>
      <c r="F25" s="205" t="s">
        <v>724</v>
      </c>
      <c r="G25" s="501" t="s">
        <v>573</v>
      </c>
      <c r="H25" s="610"/>
      <c r="I25" s="610"/>
      <c r="J25" s="420"/>
      <c r="K25" s="593"/>
    </row>
    <row r="26" customFormat="false" ht="67.5" hidden="false" customHeight="true" outlineLevel="0" collapsed="false">
      <c r="D26" s="113"/>
      <c r="E26" s="684" t="s">
        <v>676</v>
      </c>
      <c r="F26" s="205" t="s">
        <v>725</v>
      </c>
      <c r="G26" s="501" t="s">
        <v>573</v>
      </c>
      <c r="H26" s="610"/>
      <c r="I26" s="610"/>
      <c r="J26" s="420"/>
      <c r="K26" s="593"/>
    </row>
    <row r="27" s="45" customFormat="true" ht="22.5" hidden="false" customHeight="true" outlineLevel="0" collapsed="false">
      <c r="A27" s="589"/>
      <c r="C27" s="47"/>
      <c r="D27" s="113"/>
      <c r="E27" s="689" t="s">
        <v>680</v>
      </c>
      <c r="F27" s="690" t="s">
        <v>726</v>
      </c>
      <c r="G27" s="266" t="s">
        <v>573</v>
      </c>
      <c r="H27" s="633" t="n">
        <f aca="false">SUM(H28:H29)</f>
        <v>0</v>
      </c>
      <c r="I27" s="633" t="n">
        <f aca="false">SUM(I28:I29)</f>
        <v>0</v>
      </c>
      <c r="J27" s="420" t="s">
        <v>678</v>
      </c>
      <c r="K27" s="593"/>
      <c r="L27" s="47"/>
      <c r="M27" s="47"/>
      <c r="R27" s="47"/>
      <c r="U27" s="590"/>
    </row>
    <row r="28" s="47" customFormat="true" ht="0.75" hidden="false" customHeight="true" outlineLevel="0" collapsed="false">
      <c r="A28" s="459"/>
      <c r="D28" s="459"/>
      <c r="E28" s="146" t="str">
        <f aca="false">E27&amp;".0"</f>
        <v>2.9.0</v>
      </c>
      <c r="F28" s="634"/>
      <c r="G28" s="146"/>
      <c r="H28" s="635"/>
      <c r="I28" s="635"/>
      <c r="J28" s="636"/>
    </row>
    <row r="29" s="45" customFormat="true" ht="18.75" hidden="false" customHeight="true" outlineLevel="0" collapsed="false">
      <c r="A29" s="589"/>
      <c r="C29" s="47"/>
      <c r="D29" s="116"/>
      <c r="E29" s="623"/>
      <c r="F29" s="687" t="s">
        <v>598</v>
      </c>
      <c r="G29" s="624"/>
      <c r="H29" s="625"/>
      <c r="I29" s="625"/>
      <c r="J29" s="478" t="s">
        <v>679</v>
      </c>
      <c r="K29" s="593"/>
      <c r="L29" s="47"/>
      <c r="M29" s="47"/>
      <c r="R29" s="47"/>
      <c r="U29" s="590"/>
    </row>
    <row r="30" s="45" customFormat="true" ht="22.5" hidden="false" customHeight="true" outlineLevel="0" collapsed="false">
      <c r="A30" s="589"/>
      <c r="C30" s="47"/>
      <c r="D30" s="113"/>
      <c r="E30" s="684" t="s">
        <v>86</v>
      </c>
      <c r="F30" s="691" t="s">
        <v>727</v>
      </c>
      <c r="G30" s="501" t="s">
        <v>573</v>
      </c>
      <c r="H30" s="610"/>
      <c r="I30" s="610"/>
      <c r="J30" s="420"/>
      <c r="K30" s="593"/>
      <c r="L30" s="47"/>
      <c r="M30" s="47"/>
      <c r="R30" s="47"/>
      <c r="U30" s="590"/>
    </row>
    <row r="31" s="45" customFormat="true" ht="33.75" hidden="false" customHeight="true" outlineLevel="0" collapsed="false">
      <c r="A31" s="589"/>
      <c r="C31" s="47"/>
      <c r="D31" s="629"/>
      <c r="E31" s="684" t="s">
        <v>87</v>
      </c>
      <c r="F31" s="691" t="s">
        <v>728</v>
      </c>
      <c r="G31" s="501" t="s">
        <v>573</v>
      </c>
      <c r="H31" s="610"/>
      <c r="I31" s="610"/>
      <c r="J31" s="420" t="s">
        <v>729</v>
      </c>
      <c r="K31" s="593"/>
      <c r="L31" s="47"/>
      <c r="M31" s="47"/>
      <c r="R31" s="47"/>
      <c r="U31" s="590"/>
    </row>
    <row r="32" s="45" customFormat="true" ht="22.5" hidden="false" customHeight="true" outlineLevel="0" collapsed="false">
      <c r="A32" s="589"/>
      <c r="C32" s="47"/>
      <c r="D32" s="113"/>
      <c r="E32" s="684" t="s">
        <v>688</v>
      </c>
      <c r="F32" s="205" t="s">
        <v>692</v>
      </c>
      <c r="G32" s="501" t="s">
        <v>573</v>
      </c>
      <c r="H32" s="610"/>
      <c r="I32" s="610"/>
      <c r="J32" s="420" t="s">
        <v>730</v>
      </c>
      <c r="K32" s="593"/>
      <c r="L32" s="47"/>
      <c r="M32" s="47"/>
      <c r="R32" s="47"/>
      <c r="U32" s="590"/>
    </row>
    <row r="33" s="45" customFormat="true" ht="22.5" hidden="false" customHeight="true" outlineLevel="0" collapsed="false">
      <c r="A33" s="589"/>
      <c r="C33" s="47"/>
      <c r="D33" s="113"/>
      <c r="E33" s="684" t="s">
        <v>731</v>
      </c>
      <c r="F33" s="205" t="s">
        <v>732</v>
      </c>
      <c r="G33" s="501" t="s">
        <v>573</v>
      </c>
      <c r="H33" s="610"/>
      <c r="I33" s="610"/>
      <c r="J33" s="420" t="s">
        <v>733</v>
      </c>
      <c r="K33" s="593"/>
      <c r="L33" s="47"/>
      <c r="M33" s="47"/>
      <c r="R33" s="47"/>
      <c r="U33" s="590"/>
    </row>
    <row r="34" s="45" customFormat="true" ht="22.5" hidden="false" customHeight="true" outlineLevel="0" collapsed="false">
      <c r="A34" s="589"/>
      <c r="C34" s="47"/>
      <c r="D34" s="113"/>
      <c r="E34" s="684" t="s">
        <v>734</v>
      </c>
      <c r="F34" s="205" t="s">
        <v>698</v>
      </c>
      <c r="G34" s="501" t="s">
        <v>573</v>
      </c>
      <c r="H34" s="610"/>
      <c r="I34" s="610"/>
      <c r="J34" s="420" t="s">
        <v>735</v>
      </c>
      <c r="K34" s="593"/>
      <c r="L34" s="47"/>
      <c r="M34" s="47"/>
      <c r="R34" s="47"/>
      <c r="U34" s="590"/>
    </row>
    <row r="35" s="45" customFormat="true" ht="33.75" hidden="false" customHeight="true" outlineLevel="0" collapsed="false">
      <c r="A35" s="589"/>
      <c r="C35" s="47" t="s">
        <v>609</v>
      </c>
      <c r="D35" s="113"/>
      <c r="E35" s="684" t="s">
        <v>118</v>
      </c>
      <c r="F35" s="691" t="s">
        <v>700</v>
      </c>
      <c r="G35" s="145" t="s">
        <v>322</v>
      </c>
      <c r="H35" s="639"/>
      <c r="I35" s="639"/>
      <c r="J35" s="420" t="s">
        <v>736</v>
      </c>
      <c r="K35" s="593"/>
      <c r="L35" s="47"/>
      <c r="M35" s="47"/>
      <c r="R35" s="47"/>
      <c r="U35" s="590"/>
    </row>
    <row r="36" s="45" customFormat="true" ht="22.5" hidden="false" customHeight="true" outlineLevel="0" collapsed="false">
      <c r="A36" s="589"/>
      <c r="C36" s="47"/>
      <c r="D36" s="113"/>
      <c r="E36" s="684" t="s">
        <v>88</v>
      </c>
      <c r="F36" s="691" t="s">
        <v>737</v>
      </c>
      <c r="G36" s="501" t="s">
        <v>704</v>
      </c>
      <c r="H36" s="600"/>
      <c r="I36" s="600"/>
      <c r="J36" s="420" t="s">
        <v>705</v>
      </c>
      <c r="K36" s="593"/>
      <c r="L36" s="47"/>
      <c r="M36" s="47"/>
      <c r="R36" s="47"/>
      <c r="U36" s="590"/>
    </row>
    <row r="37" s="45" customFormat="true" ht="22.5" hidden="false" customHeight="true" outlineLevel="0" collapsed="false">
      <c r="A37" s="589"/>
      <c r="C37" s="47"/>
      <c r="D37" s="113"/>
      <c r="E37" s="684" t="s">
        <v>89</v>
      </c>
      <c r="F37" s="691" t="s">
        <v>738</v>
      </c>
      <c r="G37" s="501" t="s">
        <v>707</v>
      </c>
      <c r="H37" s="600"/>
      <c r="I37" s="600"/>
      <c r="J37" s="420" t="s">
        <v>708</v>
      </c>
      <c r="K37" s="593"/>
      <c r="L37" s="47"/>
      <c r="M37" s="47"/>
      <c r="R37" s="47"/>
      <c r="U37" s="590"/>
    </row>
    <row r="38" customFormat="false" ht="11.25" hidden="false" customHeight="true" outlineLevel="0" collapsed="false">
      <c r="D38" s="113"/>
    </row>
    <row r="39" customFormat="false" ht="26.25" hidden="false" customHeight="true" outlineLevel="0" collapsed="false">
      <c r="D39" s="113"/>
      <c r="E39" s="412" t="s">
        <v>739</v>
      </c>
      <c r="F39" s="491" t="s">
        <v>740</v>
      </c>
      <c r="G39" s="491"/>
      <c r="H39" s="491"/>
      <c r="I39" s="491"/>
      <c r="J39" s="491"/>
    </row>
    <row r="40" s="119" customFormat="true" ht="37.5" hidden="false" customHeight="true" outlineLevel="0" collapsed="false">
      <c r="A40" s="589"/>
      <c r="B40" s="47"/>
      <c r="C40" s="47"/>
      <c r="F40" s="491" t="s">
        <v>741</v>
      </c>
      <c r="G40" s="491"/>
      <c r="H40" s="491"/>
      <c r="I40" s="491"/>
      <c r="J40" s="491"/>
      <c r="K40" s="45"/>
      <c r="L40" s="47"/>
      <c r="M40" s="47"/>
      <c r="N40" s="45"/>
      <c r="O40" s="45"/>
      <c r="P40" s="45"/>
      <c r="Q40" s="45"/>
      <c r="R40" s="47"/>
      <c r="S40" s="45"/>
      <c r="T40" s="45"/>
      <c r="U40" s="590"/>
      <c r="V40" s="45"/>
      <c r="W40" s="45"/>
      <c r="X40" s="45"/>
      <c r="Y40" s="45"/>
      <c r="Z40" s="45"/>
      <c r="AA40" s="45"/>
      <c r="AB40" s="47"/>
      <c r="AC40" s="47"/>
      <c r="AD40" s="47"/>
      <c r="AE40" s="47"/>
    </row>
    <row r="41" s="119" customFormat="true" ht="11.25" hidden="false" customHeight="true" outlineLevel="0" collapsed="false">
      <c r="A41" s="589"/>
      <c r="B41" s="47"/>
      <c r="C41" s="47"/>
      <c r="K41" s="45"/>
      <c r="L41" s="47"/>
      <c r="M41" s="47"/>
      <c r="N41" s="45"/>
      <c r="O41" s="45"/>
      <c r="P41" s="45"/>
      <c r="Q41" s="45"/>
      <c r="R41" s="47"/>
      <c r="S41" s="45"/>
      <c r="T41" s="45"/>
      <c r="U41" s="590"/>
      <c r="V41" s="45"/>
      <c r="W41" s="45"/>
      <c r="X41" s="45"/>
      <c r="Y41" s="45"/>
      <c r="Z41" s="45"/>
      <c r="AA41" s="45"/>
      <c r="AB41" s="47"/>
      <c r="AC41" s="47"/>
      <c r="AD41" s="47"/>
      <c r="AE41" s="47"/>
    </row>
    <row r="42" s="119" customFormat="true" ht="11.25" hidden="false" customHeight="true" outlineLevel="0" collapsed="false">
      <c r="A42" s="589"/>
      <c r="B42" s="47"/>
      <c r="C42" s="47"/>
      <c r="K42" s="45"/>
      <c r="L42" s="47"/>
      <c r="M42" s="47"/>
      <c r="N42" s="45"/>
      <c r="O42" s="45"/>
      <c r="P42" s="45"/>
      <c r="Q42" s="45"/>
      <c r="R42" s="47"/>
      <c r="S42" s="45"/>
      <c r="T42" s="45"/>
      <c r="U42" s="590"/>
      <c r="V42" s="45"/>
      <c r="W42" s="45"/>
      <c r="X42" s="45"/>
      <c r="Y42" s="45"/>
      <c r="Z42" s="45"/>
      <c r="AA42" s="45"/>
      <c r="AB42" s="47"/>
      <c r="AC42" s="47"/>
      <c r="AD42" s="47"/>
      <c r="AE42" s="47"/>
    </row>
    <row r="43" s="119" customFormat="true" ht="11.25" hidden="false" customHeight="true" outlineLevel="0" collapsed="false">
      <c r="A43" s="589"/>
      <c r="B43" s="47"/>
      <c r="C43" s="47"/>
      <c r="H43" s="47"/>
      <c r="I43" s="47"/>
      <c r="K43" s="45"/>
      <c r="L43" s="47"/>
      <c r="M43" s="47"/>
      <c r="N43" s="45"/>
      <c r="O43" s="45"/>
      <c r="P43" s="45"/>
      <c r="Q43" s="45"/>
      <c r="R43" s="47"/>
      <c r="S43" s="45"/>
      <c r="T43" s="45"/>
      <c r="U43" s="590"/>
      <c r="V43" s="45"/>
      <c r="W43" s="45"/>
      <c r="X43" s="45"/>
      <c r="Y43" s="45"/>
      <c r="Z43" s="45"/>
      <c r="AA43" s="45"/>
      <c r="AB43" s="47"/>
      <c r="AC43" s="47"/>
      <c r="AD43" s="47"/>
      <c r="AE43" s="47"/>
    </row>
    <row r="44" s="119" customFormat="true" ht="11.25" hidden="false" customHeight="true" outlineLevel="0" collapsed="false">
      <c r="A44" s="589"/>
      <c r="B44" s="47"/>
      <c r="C44" s="47"/>
      <c r="K44" s="45"/>
      <c r="L44" s="47"/>
      <c r="M44" s="47"/>
      <c r="N44" s="45"/>
      <c r="O44" s="45"/>
      <c r="P44" s="45"/>
      <c r="Q44" s="45"/>
      <c r="R44" s="47"/>
      <c r="S44" s="45"/>
      <c r="T44" s="45"/>
      <c r="U44" s="590"/>
      <c r="V44" s="45"/>
      <c r="W44" s="45"/>
      <c r="X44" s="45"/>
      <c r="Y44" s="45"/>
      <c r="Z44" s="45"/>
      <c r="AA44" s="45"/>
      <c r="AB44" s="47"/>
      <c r="AC44" s="47"/>
      <c r="AD44" s="47"/>
      <c r="AE44" s="47"/>
    </row>
    <row r="45" s="119" customFormat="true" ht="11.25" hidden="false" customHeight="true" outlineLevel="0" collapsed="false">
      <c r="A45" s="589"/>
      <c r="B45" s="47"/>
      <c r="C45" s="47"/>
      <c r="K45" s="45"/>
      <c r="L45" s="47"/>
      <c r="M45" s="47"/>
      <c r="N45" s="45"/>
      <c r="O45" s="45"/>
      <c r="P45" s="45"/>
      <c r="Q45" s="45"/>
      <c r="R45" s="47"/>
      <c r="S45" s="45"/>
      <c r="T45" s="45"/>
      <c r="U45" s="590"/>
      <c r="V45" s="45"/>
      <c r="W45" s="45"/>
      <c r="X45" s="45"/>
      <c r="Y45" s="45"/>
      <c r="Z45" s="45"/>
      <c r="AA45" s="45"/>
      <c r="AB45" s="47"/>
      <c r="AC45" s="47"/>
      <c r="AD45" s="47"/>
      <c r="AE45" s="47"/>
    </row>
    <row r="46" s="119" customFormat="true" ht="11.25" hidden="false" customHeight="true" outlineLevel="0" collapsed="false">
      <c r="A46" s="589"/>
      <c r="B46" s="47"/>
      <c r="C46" s="47"/>
      <c r="K46" s="45"/>
      <c r="L46" s="47"/>
      <c r="M46" s="47"/>
      <c r="N46" s="45"/>
      <c r="O46" s="45"/>
      <c r="P46" s="45"/>
      <c r="Q46" s="45"/>
      <c r="R46" s="47"/>
      <c r="S46" s="45"/>
      <c r="T46" s="45"/>
      <c r="U46" s="590"/>
      <c r="V46" s="45"/>
      <c r="W46" s="45"/>
      <c r="X46" s="45"/>
      <c r="Y46" s="45"/>
      <c r="Z46" s="45"/>
      <c r="AA46" s="45"/>
      <c r="AB46" s="47"/>
      <c r="AC46" s="47"/>
      <c r="AD46" s="47"/>
      <c r="AE46" s="47"/>
    </row>
    <row r="47" s="119" customFormat="true" ht="11.25" hidden="false" customHeight="true" outlineLevel="0" collapsed="false">
      <c r="A47" s="589"/>
      <c r="B47" s="47"/>
      <c r="C47" s="47"/>
      <c r="K47" s="45"/>
      <c r="L47" s="47"/>
      <c r="M47" s="47"/>
      <c r="N47" s="45"/>
      <c r="O47" s="45"/>
      <c r="P47" s="45"/>
      <c r="Q47" s="45"/>
      <c r="R47" s="47"/>
      <c r="S47" s="45"/>
      <c r="T47" s="45"/>
      <c r="U47" s="590"/>
      <c r="V47" s="45"/>
      <c r="W47" s="45"/>
      <c r="X47" s="45"/>
      <c r="Y47" s="45"/>
      <c r="Z47" s="45"/>
      <c r="AA47" s="45"/>
      <c r="AB47" s="47"/>
      <c r="AC47" s="47"/>
      <c r="AD47" s="47"/>
      <c r="AE47" s="47"/>
    </row>
    <row r="48" s="119" customFormat="true" ht="11.25" hidden="false" customHeight="true" outlineLevel="0" collapsed="false">
      <c r="A48" s="589"/>
      <c r="B48" s="47"/>
      <c r="C48" s="47"/>
      <c r="K48" s="45"/>
      <c r="L48" s="47"/>
      <c r="M48" s="47"/>
      <c r="N48" s="45"/>
      <c r="O48" s="45"/>
      <c r="P48" s="45"/>
      <c r="Q48" s="45"/>
      <c r="R48" s="47"/>
      <c r="S48" s="45"/>
      <c r="T48" s="45"/>
      <c r="U48" s="590"/>
      <c r="V48" s="45"/>
      <c r="W48" s="45"/>
      <c r="X48" s="45"/>
      <c r="Y48" s="45"/>
      <c r="Z48" s="45"/>
      <c r="AA48" s="45"/>
      <c r="AB48" s="47"/>
      <c r="AC48" s="47"/>
      <c r="AD48" s="47"/>
      <c r="AE48" s="47"/>
    </row>
    <row r="49" s="119" customFormat="true" ht="11.25" hidden="false" customHeight="true" outlineLevel="0" collapsed="false">
      <c r="A49" s="589"/>
      <c r="B49" s="47"/>
      <c r="C49" s="47"/>
      <c r="K49" s="45"/>
      <c r="L49" s="47"/>
      <c r="M49" s="47"/>
      <c r="N49" s="45"/>
      <c r="O49" s="45"/>
      <c r="P49" s="45"/>
      <c r="Q49" s="45"/>
      <c r="R49" s="47"/>
      <c r="S49" s="45"/>
      <c r="T49" s="45"/>
      <c r="U49" s="590"/>
      <c r="V49" s="45"/>
      <c r="W49" s="45"/>
      <c r="X49" s="45"/>
      <c r="Y49" s="45"/>
      <c r="Z49" s="45"/>
      <c r="AA49" s="45"/>
      <c r="AB49" s="47"/>
      <c r="AC49" s="47"/>
      <c r="AD49" s="47"/>
      <c r="AE49" s="47"/>
    </row>
    <row r="50" s="119" customFormat="true" ht="11.25" hidden="false" customHeight="true" outlineLevel="0" collapsed="false">
      <c r="A50" s="589"/>
      <c r="B50" s="47"/>
      <c r="C50" s="47"/>
      <c r="K50" s="45"/>
      <c r="L50" s="47"/>
      <c r="M50" s="47"/>
      <c r="N50" s="45"/>
      <c r="O50" s="45"/>
      <c r="P50" s="45"/>
      <c r="Q50" s="45"/>
      <c r="R50" s="47"/>
      <c r="S50" s="45"/>
      <c r="T50" s="45"/>
      <c r="U50" s="590"/>
      <c r="V50" s="45"/>
      <c r="W50" s="45"/>
      <c r="X50" s="45"/>
      <c r="Y50" s="45"/>
      <c r="Z50" s="45"/>
      <c r="AA50" s="45"/>
      <c r="AB50" s="47"/>
      <c r="AC50" s="47"/>
      <c r="AD50" s="47"/>
      <c r="AE50" s="47"/>
    </row>
    <row r="51" s="119" customFormat="true" ht="11.25" hidden="false" customHeight="true" outlineLevel="0" collapsed="false">
      <c r="A51" s="589"/>
      <c r="B51" s="47"/>
      <c r="C51" s="47"/>
      <c r="K51" s="45"/>
      <c r="L51" s="47"/>
      <c r="M51" s="47"/>
      <c r="N51" s="45"/>
      <c r="O51" s="45"/>
      <c r="P51" s="45"/>
      <c r="Q51" s="45"/>
      <c r="R51" s="47"/>
      <c r="S51" s="45"/>
      <c r="T51" s="45"/>
      <c r="U51" s="590"/>
      <c r="V51" s="45"/>
      <c r="W51" s="45"/>
      <c r="X51" s="45"/>
      <c r="Y51" s="45"/>
      <c r="Z51" s="45"/>
      <c r="AA51" s="45"/>
      <c r="AB51" s="47"/>
      <c r="AC51" s="47"/>
      <c r="AD51" s="47"/>
      <c r="AE51" s="47"/>
    </row>
    <row r="52" s="119" customFormat="true" ht="11.25" hidden="false" customHeight="true" outlineLevel="0" collapsed="false">
      <c r="A52" s="589"/>
      <c r="B52" s="47"/>
      <c r="C52" s="47"/>
      <c r="K52" s="45"/>
      <c r="L52" s="47"/>
      <c r="M52" s="47"/>
      <c r="N52" s="45"/>
      <c r="O52" s="45"/>
      <c r="P52" s="45"/>
      <c r="Q52" s="45"/>
      <c r="R52" s="47"/>
      <c r="S52" s="45"/>
      <c r="T52" s="45"/>
      <c r="U52" s="590"/>
      <c r="V52" s="45"/>
      <c r="W52" s="45"/>
      <c r="X52" s="45"/>
      <c r="Y52" s="45"/>
      <c r="Z52" s="45"/>
      <c r="AA52" s="45"/>
      <c r="AB52" s="47"/>
      <c r="AC52" s="47"/>
      <c r="AD52" s="47"/>
      <c r="AE52" s="47"/>
    </row>
    <row r="53" s="119" customFormat="true" ht="11.25" hidden="false" customHeight="true" outlineLevel="0" collapsed="false">
      <c r="A53" s="589"/>
      <c r="B53" s="47"/>
      <c r="C53" s="47"/>
      <c r="K53" s="45"/>
      <c r="L53" s="47"/>
      <c r="M53" s="47"/>
      <c r="N53" s="45"/>
      <c r="O53" s="45"/>
      <c r="P53" s="45"/>
      <c r="Q53" s="45"/>
      <c r="R53" s="47"/>
      <c r="S53" s="45"/>
      <c r="T53" s="45"/>
      <c r="U53" s="590"/>
      <c r="V53" s="45"/>
      <c r="W53" s="45"/>
      <c r="X53" s="45"/>
      <c r="Y53" s="45"/>
      <c r="Z53" s="45"/>
      <c r="AA53" s="45"/>
      <c r="AB53" s="47"/>
      <c r="AC53" s="47"/>
      <c r="AD53" s="47"/>
      <c r="AE53" s="47"/>
    </row>
    <row r="54" s="119" customFormat="true" ht="11.25" hidden="false" customHeight="true" outlineLevel="0" collapsed="false">
      <c r="A54" s="589"/>
      <c r="B54" s="47"/>
      <c r="C54" s="47"/>
      <c r="K54" s="45"/>
      <c r="L54" s="47"/>
      <c r="M54" s="47"/>
      <c r="N54" s="45"/>
      <c r="O54" s="45"/>
      <c r="P54" s="45"/>
      <c r="Q54" s="45"/>
      <c r="R54" s="47"/>
      <c r="S54" s="45"/>
      <c r="T54" s="45"/>
      <c r="U54" s="590"/>
      <c r="V54" s="45"/>
      <c r="W54" s="45"/>
      <c r="X54" s="45"/>
      <c r="Y54" s="45"/>
      <c r="Z54" s="45"/>
      <c r="AA54" s="45"/>
      <c r="AB54" s="47"/>
      <c r="AC54" s="47"/>
      <c r="AD54" s="47"/>
      <c r="AE54" s="47"/>
    </row>
    <row r="55" s="119" customFormat="true" ht="11.25" hidden="false" customHeight="true" outlineLevel="0" collapsed="false">
      <c r="A55" s="589"/>
      <c r="B55" s="47"/>
      <c r="C55" s="47"/>
      <c r="K55" s="45"/>
      <c r="L55" s="47"/>
      <c r="M55" s="47"/>
      <c r="N55" s="45"/>
      <c r="O55" s="45"/>
      <c r="P55" s="45"/>
      <c r="Q55" s="45"/>
      <c r="R55" s="47"/>
      <c r="S55" s="45"/>
      <c r="T55" s="45"/>
      <c r="U55" s="590"/>
      <c r="V55" s="45"/>
      <c r="W55" s="45"/>
      <c r="X55" s="45"/>
      <c r="Y55" s="45"/>
      <c r="Z55" s="45"/>
      <c r="AA55" s="45"/>
      <c r="AB55" s="47"/>
      <c r="AC55" s="47"/>
      <c r="AD55" s="47"/>
      <c r="AE55" s="47"/>
    </row>
    <row r="56" s="119" customFormat="true" ht="11.25" hidden="false" customHeight="true" outlineLevel="0" collapsed="false">
      <c r="A56" s="589"/>
      <c r="B56" s="47"/>
      <c r="C56" s="47"/>
      <c r="K56" s="45"/>
      <c r="L56" s="47"/>
      <c r="M56" s="47"/>
      <c r="N56" s="45"/>
      <c r="O56" s="45"/>
      <c r="P56" s="45"/>
      <c r="Q56" s="45"/>
      <c r="R56" s="47"/>
      <c r="S56" s="45"/>
      <c r="T56" s="45"/>
      <c r="U56" s="590"/>
      <c r="V56" s="45"/>
      <c r="W56" s="45"/>
      <c r="X56" s="45"/>
      <c r="Y56" s="45"/>
      <c r="Z56" s="45"/>
      <c r="AA56" s="45"/>
      <c r="AB56" s="47"/>
      <c r="AC56" s="47"/>
      <c r="AD56" s="47"/>
      <c r="AE56" s="47"/>
    </row>
    <row r="57" s="119" customFormat="true" ht="11.25" hidden="false" customHeight="true" outlineLevel="0" collapsed="false">
      <c r="A57" s="589"/>
      <c r="B57" s="47"/>
      <c r="C57" s="47"/>
      <c r="K57" s="45"/>
      <c r="L57" s="47"/>
      <c r="M57" s="47"/>
      <c r="N57" s="45"/>
      <c r="O57" s="45"/>
      <c r="P57" s="45"/>
      <c r="Q57" s="45"/>
      <c r="R57" s="47"/>
      <c r="S57" s="45"/>
      <c r="T57" s="45"/>
      <c r="U57" s="590"/>
      <c r="V57" s="45"/>
      <c r="W57" s="45"/>
      <c r="X57" s="45"/>
      <c r="Y57" s="45"/>
      <c r="Z57" s="45"/>
      <c r="AA57" s="45"/>
      <c r="AB57" s="47"/>
      <c r="AC57" s="47"/>
      <c r="AD57" s="47"/>
      <c r="AE57" s="47"/>
    </row>
    <row r="58" s="119" customFormat="true" ht="11.25" hidden="false" customHeight="true" outlineLevel="0" collapsed="false">
      <c r="A58" s="589"/>
      <c r="B58" s="47"/>
      <c r="C58" s="47"/>
      <c r="K58" s="45"/>
      <c r="L58" s="47"/>
      <c r="M58" s="47"/>
      <c r="N58" s="45"/>
      <c r="O58" s="45"/>
      <c r="P58" s="45"/>
      <c r="Q58" s="45"/>
      <c r="R58" s="47"/>
      <c r="S58" s="45"/>
      <c r="T58" s="45"/>
      <c r="U58" s="590"/>
      <c r="V58" s="45"/>
      <c r="W58" s="45"/>
      <c r="X58" s="45"/>
      <c r="Y58" s="45"/>
      <c r="Z58" s="45"/>
      <c r="AA58" s="45"/>
      <c r="AB58" s="47"/>
      <c r="AC58" s="47"/>
      <c r="AD58" s="47"/>
      <c r="AE58" s="47"/>
    </row>
    <row r="59" s="119" customFormat="true" ht="11.25" hidden="false" customHeight="true" outlineLevel="0" collapsed="false">
      <c r="A59" s="589"/>
      <c r="B59" s="47"/>
      <c r="C59" s="47"/>
      <c r="K59" s="45"/>
      <c r="L59" s="47"/>
      <c r="M59" s="47"/>
      <c r="N59" s="45"/>
      <c r="O59" s="45"/>
      <c r="P59" s="45"/>
      <c r="Q59" s="45"/>
      <c r="R59" s="47"/>
      <c r="S59" s="45"/>
      <c r="T59" s="45"/>
      <c r="U59" s="590"/>
      <c r="V59" s="45"/>
      <c r="W59" s="45"/>
      <c r="X59" s="45"/>
      <c r="Y59" s="45"/>
      <c r="Z59" s="45"/>
      <c r="AA59" s="45"/>
      <c r="AB59" s="47"/>
      <c r="AC59" s="47"/>
      <c r="AD59" s="47"/>
      <c r="AE59" s="47"/>
    </row>
    <row r="60" s="119" customFormat="true" ht="11.25" hidden="false" customHeight="true" outlineLevel="0" collapsed="false">
      <c r="A60" s="589"/>
      <c r="B60" s="47"/>
      <c r="C60" s="47"/>
      <c r="K60" s="45"/>
      <c r="L60" s="47"/>
      <c r="M60" s="47"/>
      <c r="N60" s="45"/>
      <c r="O60" s="45"/>
      <c r="P60" s="45"/>
      <c r="Q60" s="45"/>
      <c r="R60" s="47"/>
      <c r="S60" s="45"/>
      <c r="T60" s="45"/>
      <c r="U60" s="590"/>
      <c r="V60" s="45"/>
      <c r="W60" s="45"/>
      <c r="X60" s="45"/>
      <c r="Y60" s="45"/>
      <c r="Z60" s="45"/>
      <c r="AA60" s="45"/>
      <c r="AB60" s="47"/>
      <c r="AC60" s="47"/>
      <c r="AD60" s="47"/>
      <c r="AE60" s="47"/>
    </row>
    <row r="61" s="119" customFormat="true" ht="11.25" hidden="false" customHeight="true" outlineLevel="0" collapsed="false">
      <c r="A61" s="589"/>
      <c r="B61" s="47"/>
      <c r="C61" s="47"/>
      <c r="K61" s="45"/>
      <c r="L61" s="47"/>
      <c r="M61" s="47"/>
      <c r="N61" s="45"/>
      <c r="O61" s="45"/>
      <c r="P61" s="45"/>
      <c r="Q61" s="45"/>
      <c r="R61" s="47"/>
      <c r="S61" s="45"/>
      <c r="T61" s="45"/>
      <c r="U61" s="590"/>
      <c r="V61" s="45"/>
      <c r="W61" s="45"/>
      <c r="X61" s="45"/>
      <c r="Y61" s="45"/>
      <c r="Z61" s="45"/>
      <c r="AA61" s="45"/>
      <c r="AB61" s="47"/>
      <c r="AC61" s="47"/>
      <c r="AD61" s="47"/>
      <c r="AE61" s="47"/>
    </row>
    <row r="62" s="119" customFormat="true" ht="11.25" hidden="false" customHeight="true" outlineLevel="0" collapsed="false">
      <c r="A62" s="589"/>
      <c r="B62" s="47"/>
      <c r="C62" s="47"/>
      <c r="K62" s="45"/>
      <c r="L62" s="47"/>
      <c r="M62" s="47"/>
      <c r="N62" s="45"/>
      <c r="O62" s="45"/>
      <c r="P62" s="45"/>
      <c r="Q62" s="45"/>
      <c r="R62" s="47"/>
      <c r="S62" s="45"/>
      <c r="T62" s="45"/>
      <c r="U62" s="590"/>
      <c r="V62" s="45"/>
      <c r="W62" s="45"/>
      <c r="X62" s="45"/>
      <c r="Y62" s="45"/>
      <c r="Z62" s="45"/>
      <c r="AA62" s="45"/>
      <c r="AB62" s="47"/>
      <c r="AC62" s="47"/>
      <c r="AD62" s="47"/>
      <c r="AE62" s="47"/>
    </row>
    <row r="63" s="119" customFormat="true" ht="11.25" hidden="false" customHeight="true" outlineLevel="0" collapsed="false">
      <c r="A63" s="589"/>
      <c r="B63" s="47"/>
      <c r="C63" s="47"/>
      <c r="K63" s="45"/>
      <c r="L63" s="47"/>
      <c r="M63" s="47"/>
      <c r="N63" s="45"/>
      <c r="O63" s="45"/>
      <c r="P63" s="45"/>
      <c r="Q63" s="45"/>
      <c r="R63" s="47"/>
      <c r="S63" s="45"/>
      <c r="T63" s="45"/>
      <c r="U63" s="590"/>
      <c r="V63" s="45"/>
      <c r="W63" s="45"/>
      <c r="X63" s="45"/>
      <c r="Y63" s="45"/>
      <c r="Z63" s="45"/>
      <c r="AA63" s="45"/>
      <c r="AB63" s="47"/>
      <c r="AC63" s="47"/>
      <c r="AD63" s="47"/>
      <c r="AE63" s="47"/>
    </row>
    <row r="64" s="119" customFormat="true" ht="11.25" hidden="false" customHeight="true" outlineLevel="0" collapsed="false">
      <c r="A64" s="589"/>
      <c r="B64" s="47"/>
      <c r="C64" s="47"/>
      <c r="K64" s="45"/>
      <c r="L64" s="47"/>
      <c r="M64" s="47"/>
      <c r="N64" s="45"/>
      <c r="O64" s="45"/>
      <c r="P64" s="45"/>
      <c r="Q64" s="45"/>
      <c r="R64" s="47"/>
      <c r="S64" s="45"/>
      <c r="T64" s="45"/>
      <c r="U64" s="590"/>
      <c r="V64" s="45"/>
      <c r="W64" s="45"/>
      <c r="X64" s="45"/>
      <c r="Y64" s="45"/>
      <c r="Z64" s="45"/>
      <c r="AA64" s="45"/>
      <c r="AB64" s="47"/>
      <c r="AC64" s="47"/>
      <c r="AD64" s="47"/>
      <c r="AE64" s="47"/>
    </row>
    <row r="65" s="119" customFormat="true" ht="11.25" hidden="false" customHeight="true" outlineLevel="0" collapsed="false">
      <c r="A65" s="589"/>
      <c r="B65" s="47"/>
      <c r="C65" s="47"/>
      <c r="K65" s="45"/>
      <c r="L65" s="47"/>
      <c r="M65" s="47"/>
      <c r="N65" s="45"/>
      <c r="O65" s="45"/>
      <c r="P65" s="45"/>
      <c r="Q65" s="45"/>
      <c r="R65" s="47"/>
      <c r="S65" s="45"/>
      <c r="T65" s="45"/>
      <c r="U65" s="590"/>
      <c r="V65" s="45"/>
      <c r="W65" s="45"/>
      <c r="X65" s="45"/>
      <c r="Y65" s="45"/>
      <c r="Z65" s="45"/>
      <c r="AA65" s="45"/>
      <c r="AB65" s="47"/>
      <c r="AC65" s="47"/>
      <c r="AD65" s="47"/>
      <c r="AE65" s="47"/>
    </row>
    <row r="66" s="119" customFormat="true" ht="11.25" hidden="false" customHeight="true" outlineLevel="0" collapsed="false">
      <c r="A66" s="589"/>
      <c r="B66" s="47"/>
      <c r="C66" s="47"/>
      <c r="K66" s="45"/>
      <c r="L66" s="47"/>
      <c r="M66" s="47"/>
      <c r="N66" s="45"/>
      <c r="O66" s="45"/>
      <c r="P66" s="45"/>
      <c r="Q66" s="45"/>
      <c r="R66" s="47"/>
      <c r="S66" s="45"/>
      <c r="T66" s="45"/>
      <c r="U66" s="590"/>
      <c r="V66" s="45"/>
      <c r="W66" s="45"/>
      <c r="X66" s="45"/>
      <c r="Y66" s="45"/>
      <c r="Z66" s="45"/>
      <c r="AA66" s="45"/>
      <c r="AB66" s="47"/>
      <c r="AC66" s="47"/>
      <c r="AD66" s="47"/>
      <c r="AE66" s="47"/>
    </row>
    <row r="67" s="119" customFormat="true" ht="11.25" hidden="false" customHeight="true" outlineLevel="0" collapsed="false">
      <c r="A67" s="589"/>
      <c r="B67" s="47"/>
      <c r="C67" s="47"/>
      <c r="K67" s="45"/>
      <c r="L67" s="47"/>
      <c r="M67" s="47"/>
      <c r="N67" s="45"/>
      <c r="O67" s="45"/>
      <c r="P67" s="45"/>
      <c r="Q67" s="45"/>
      <c r="R67" s="47"/>
      <c r="S67" s="45"/>
      <c r="T67" s="45"/>
      <c r="U67" s="590"/>
      <c r="V67" s="45"/>
      <c r="W67" s="45"/>
      <c r="X67" s="45"/>
      <c r="Y67" s="45"/>
      <c r="Z67" s="45"/>
      <c r="AA67" s="45"/>
      <c r="AB67" s="47"/>
      <c r="AC67" s="47"/>
      <c r="AD67" s="47"/>
      <c r="AE67" s="47"/>
    </row>
    <row r="68" s="119" customFormat="true" ht="11.25" hidden="false" customHeight="true" outlineLevel="0" collapsed="false">
      <c r="A68" s="589"/>
      <c r="B68" s="47"/>
      <c r="C68" s="47"/>
      <c r="K68" s="45"/>
      <c r="L68" s="47"/>
      <c r="M68" s="47"/>
      <c r="N68" s="45"/>
      <c r="O68" s="45"/>
      <c r="P68" s="45"/>
      <c r="Q68" s="45"/>
      <c r="R68" s="47"/>
      <c r="S68" s="45"/>
      <c r="T68" s="45"/>
      <c r="U68" s="590"/>
      <c r="V68" s="45"/>
      <c r="W68" s="45"/>
      <c r="X68" s="45"/>
      <c r="Y68" s="45"/>
      <c r="Z68" s="45"/>
      <c r="AA68" s="45"/>
      <c r="AB68" s="47"/>
      <c r="AC68" s="47"/>
      <c r="AD68" s="47"/>
      <c r="AE68" s="47"/>
    </row>
    <row r="69" s="119" customFormat="true" ht="11.25" hidden="false" customHeight="true" outlineLevel="0" collapsed="false">
      <c r="A69" s="589"/>
      <c r="B69" s="47"/>
      <c r="C69" s="47"/>
      <c r="K69" s="45"/>
      <c r="L69" s="47"/>
      <c r="M69" s="47"/>
      <c r="N69" s="45"/>
      <c r="O69" s="45"/>
      <c r="P69" s="45"/>
      <c r="Q69" s="45"/>
      <c r="R69" s="47"/>
      <c r="S69" s="45"/>
      <c r="T69" s="45"/>
      <c r="U69" s="590"/>
      <c r="V69" s="45"/>
      <c r="W69" s="45"/>
      <c r="X69" s="45"/>
      <c r="Y69" s="45"/>
      <c r="Z69" s="45"/>
      <c r="AA69" s="45"/>
      <c r="AB69" s="47"/>
      <c r="AC69" s="47"/>
      <c r="AD69" s="47"/>
      <c r="AE69" s="47"/>
    </row>
    <row r="70" s="119" customFormat="true" ht="11.25" hidden="false" customHeight="true" outlineLevel="0" collapsed="false">
      <c r="A70" s="589"/>
      <c r="B70" s="47"/>
      <c r="C70" s="47"/>
      <c r="K70" s="45"/>
      <c r="L70" s="47"/>
      <c r="M70" s="47"/>
      <c r="N70" s="45"/>
      <c r="O70" s="45"/>
      <c r="P70" s="45"/>
      <c r="Q70" s="45"/>
      <c r="R70" s="47"/>
      <c r="S70" s="45"/>
      <c r="T70" s="45"/>
      <c r="U70" s="590"/>
      <c r="V70" s="45"/>
      <c r="W70" s="45"/>
      <c r="X70" s="45"/>
      <c r="Y70" s="45"/>
      <c r="Z70" s="45"/>
      <c r="AA70" s="45"/>
      <c r="AB70" s="47"/>
      <c r="AC70" s="47"/>
      <c r="AD70" s="47"/>
      <c r="AE70" s="47"/>
    </row>
    <row r="71" s="119" customFormat="true" ht="11.25" hidden="false" customHeight="true" outlineLevel="0" collapsed="false">
      <c r="A71" s="589"/>
      <c r="B71" s="47"/>
      <c r="C71" s="47"/>
      <c r="K71" s="45"/>
      <c r="L71" s="47"/>
      <c r="M71" s="47"/>
      <c r="N71" s="45"/>
      <c r="O71" s="45"/>
      <c r="P71" s="45"/>
      <c r="Q71" s="45"/>
      <c r="R71" s="47"/>
      <c r="S71" s="45"/>
      <c r="T71" s="45"/>
      <c r="U71" s="590"/>
      <c r="V71" s="45"/>
      <c r="W71" s="45"/>
      <c r="X71" s="45"/>
      <c r="Y71" s="45"/>
      <c r="Z71" s="45"/>
      <c r="AA71" s="45"/>
      <c r="AB71" s="47"/>
      <c r="AC71" s="47"/>
      <c r="AD71" s="47"/>
      <c r="AE71" s="47"/>
    </row>
    <row r="72" s="119" customFormat="true" ht="11.25" hidden="false" customHeight="true" outlineLevel="0" collapsed="false">
      <c r="A72" s="589"/>
      <c r="B72" s="47"/>
      <c r="C72" s="47"/>
      <c r="K72" s="45"/>
      <c r="L72" s="47"/>
      <c r="M72" s="47"/>
      <c r="N72" s="45"/>
      <c r="O72" s="45"/>
      <c r="P72" s="45"/>
      <c r="Q72" s="45"/>
      <c r="R72" s="47"/>
      <c r="S72" s="45"/>
      <c r="T72" s="45"/>
      <c r="U72" s="590"/>
      <c r="V72" s="45"/>
      <c r="W72" s="45"/>
      <c r="X72" s="45"/>
      <c r="Y72" s="45"/>
      <c r="Z72" s="45"/>
      <c r="AA72" s="45"/>
      <c r="AB72" s="47"/>
      <c r="AC72" s="47"/>
      <c r="AD72" s="47"/>
      <c r="AE72" s="47"/>
    </row>
    <row r="73" s="119" customFormat="true" ht="11.25" hidden="false" customHeight="true" outlineLevel="0" collapsed="false">
      <c r="A73" s="589"/>
      <c r="B73" s="47"/>
      <c r="C73" s="47"/>
      <c r="K73" s="45"/>
      <c r="L73" s="47"/>
      <c r="M73" s="47"/>
      <c r="N73" s="45"/>
      <c r="O73" s="45"/>
      <c r="P73" s="45"/>
      <c r="Q73" s="45"/>
      <c r="R73" s="47"/>
      <c r="S73" s="45"/>
      <c r="T73" s="45"/>
      <c r="U73" s="590"/>
      <c r="V73" s="45"/>
      <c r="W73" s="45"/>
      <c r="X73" s="45"/>
      <c r="Y73" s="45"/>
      <c r="Z73" s="45"/>
      <c r="AA73" s="45"/>
      <c r="AB73" s="47"/>
      <c r="AC73" s="47"/>
      <c r="AD73" s="47"/>
      <c r="AE73" s="47"/>
    </row>
    <row r="74" s="119" customFormat="true" ht="11.25" hidden="false" customHeight="true" outlineLevel="0" collapsed="false">
      <c r="A74" s="589"/>
      <c r="B74" s="47"/>
      <c r="C74" s="47"/>
      <c r="K74" s="45"/>
      <c r="L74" s="47"/>
      <c r="M74" s="47"/>
      <c r="N74" s="45"/>
      <c r="O74" s="45"/>
      <c r="P74" s="45"/>
      <c r="Q74" s="45"/>
      <c r="R74" s="47"/>
      <c r="S74" s="45"/>
      <c r="T74" s="45"/>
      <c r="U74" s="590"/>
      <c r="V74" s="45"/>
      <c r="W74" s="45"/>
      <c r="X74" s="45"/>
      <c r="Y74" s="45"/>
      <c r="Z74" s="45"/>
      <c r="AA74" s="45"/>
      <c r="AB74" s="47"/>
      <c r="AC74" s="47"/>
      <c r="AD74" s="47"/>
      <c r="AE74" s="47"/>
    </row>
    <row r="75" s="119" customFormat="true" ht="11.25" hidden="false" customHeight="true" outlineLevel="0" collapsed="false">
      <c r="A75" s="589"/>
      <c r="B75" s="47"/>
      <c r="C75" s="47"/>
      <c r="K75" s="45"/>
      <c r="L75" s="47"/>
      <c r="M75" s="47"/>
      <c r="N75" s="45"/>
      <c r="O75" s="45"/>
      <c r="P75" s="45"/>
      <c r="Q75" s="45"/>
      <c r="R75" s="47"/>
      <c r="S75" s="45"/>
      <c r="T75" s="45"/>
      <c r="U75" s="590"/>
      <c r="V75" s="45"/>
      <c r="W75" s="45"/>
      <c r="X75" s="45"/>
      <c r="Y75" s="45"/>
      <c r="Z75" s="45"/>
      <c r="AA75" s="45"/>
      <c r="AB75" s="47"/>
      <c r="AC75" s="47"/>
      <c r="AD75" s="47"/>
      <c r="AE75" s="47"/>
    </row>
    <row r="76" s="119" customFormat="true" ht="11.25" hidden="false" customHeight="true" outlineLevel="0" collapsed="false">
      <c r="A76" s="589"/>
      <c r="B76" s="47"/>
      <c r="C76" s="47"/>
      <c r="K76" s="45"/>
      <c r="L76" s="47"/>
      <c r="M76" s="47"/>
      <c r="N76" s="45"/>
      <c r="O76" s="45"/>
      <c r="P76" s="45"/>
      <c r="Q76" s="45"/>
      <c r="R76" s="47"/>
      <c r="S76" s="45"/>
      <c r="T76" s="45"/>
      <c r="U76" s="590"/>
      <c r="V76" s="45"/>
      <c r="W76" s="45"/>
      <c r="X76" s="45"/>
      <c r="Y76" s="45"/>
      <c r="Z76" s="45"/>
      <c r="AA76" s="45"/>
      <c r="AB76" s="47"/>
      <c r="AC76" s="47"/>
      <c r="AD76" s="47"/>
      <c r="AE76" s="47"/>
    </row>
    <row r="77" s="119" customFormat="true" ht="11.25" hidden="false" customHeight="true" outlineLevel="0" collapsed="false">
      <c r="A77" s="589"/>
      <c r="B77" s="47"/>
      <c r="C77" s="47"/>
      <c r="K77" s="45"/>
      <c r="L77" s="47"/>
      <c r="M77" s="47"/>
      <c r="N77" s="45"/>
      <c r="O77" s="45"/>
      <c r="P77" s="45"/>
      <c r="Q77" s="45"/>
      <c r="R77" s="47"/>
      <c r="S77" s="45"/>
      <c r="T77" s="45"/>
      <c r="U77" s="590"/>
      <c r="V77" s="45"/>
      <c r="W77" s="45"/>
      <c r="X77" s="45"/>
      <c r="Y77" s="45"/>
      <c r="Z77" s="45"/>
      <c r="AA77" s="45"/>
      <c r="AB77" s="47"/>
      <c r="AC77" s="47"/>
      <c r="AD77" s="47"/>
      <c r="AE77" s="47"/>
    </row>
    <row r="78" s="119" customFormat="true" ht="11.25" hidden="false" customHeight="true" outlineLevel="0" collapsed="false">
      <c r="A78" s="589"/>
      <c r="B78" s="47"/>
      <c r="C78" s="47"/>
      <c r="K78" s="45"/>
      <c r="L78" s="47"/>
      <c r="M78" s="47"/>
      <c r="N78" s="45"/>
      <c r="O78" s="45"/>
      <c r="P78" s="45"/>
      <c r="Q78" s="45"/>
      <c r="R78" s="47"/>
      <c r="S78" s="45"/>
      <c r="T78" s="45"/>
      <c r="U78" s="590"/>
      <c r="V78" s="45"/>
      <c r="W78" s="45"/>
      <c r="X78" s="45"/>
      <c r="Y78" s="45"/>
      <c r="Z78" s="45"/>
      <c r="AA78" s="45"/>
      <c r="AB78" s="47"/>
      <c r="AC78" s="47"/>
      <c r="AD78" s="47"/>
      <c r="AE78" s="47"/>
    </row>
    <row r="79" s="119" customFormat="true" ht="11.25" hidden="false" customHeight="true" outlineLevel="0" collapsed="false">
      <c r="A79" s="589"/>
      <c r="B79" s="47"/>
      <c r="C79" s="47"/>
      <c r="K79" s="45"/>
      <c r="L79" s="47"/>
      <c r="M79" s="47"/>
      <c r="N79" s="45"/>
      <c r="O79" s="45"/>
      <c r="P79" s="45"/>
      <c r="Q79" s="45"/>
      <c r="R79" s="47"/>
      <c r="S79" s="45"/>
      <c r="T79" s="45"/>
      <c r="U79" s="590"/>
      <c r="V79" s="45"/>
      <c r="W79" s="45"/>
      <c r="X79" s="45"/>
      <c r="Y79" s="45"/>
      <c r="Z79" s="45"/>
      <c r="AA79" s="45"/>
      <c r="AB79" s="47"/>
      <c r="AC79" s="47"/>
      <c r="AD79" s="47"/>
      <c r="AE79" s="47"/>
    </row>
    <row r="80" s="119" customFormat="true" ht="11.25" hidden="false" customHeight="true" outlineLevel="0" collapsed="false">
      <c r="A80" s="589"/>
      <c r="B80" s="47"/>
      <c r="C80" s="47"/>
      <c r="K80" s="45"/>
      <c r="L80" s="47"/>
      <c r="M80" s="47"/>
      <c r="N80" s="45"/>
      <c r="O80" s="45"/>
      <c r="P80" s="45"/>
      <c r="Q80" s="45"/>
      <c r="R80" s="47"/>
      <c r="S80" s="45"/>
      <c r="T80" s="45"/>
      <c r="U80" s="590"/>
      <c r="V80" s="45"/>
      <c r="W80" s="45"/>
      <c r="X80" s="45"/>
      <c r="Y80" s="45"/>
      <c r="Z80" s="45"/>
      <c r="AA80" s="45"/>
      <c r="AB80" s="47"/>
      <c r="AC80" s="47"/>
      <c r="AD80" s="47"/>
      <c r="AE80" s="47"/>
    </row>
    <row r="81" s="119" customFormat="true" ht="11.25" hidden="false" customHeight="true" outlineLevel="0" collapsed="false">
      <c r="A81" s="589"/>
      <c r="B81" s="47"/>
      <c r="C81" s="47"/>
      <c r="K81" s="45"/>
      <c r="L81" s="47"/>
      <c r="M81" s="47"/>
      <c r="N81" s="45"/>
      <c r="O81" s="45"/>
      <c r="P81" s="45"/>
      <c r="Q81" s="45"/>
      <c r="R81" s="47"/>
      <c r="S81" s="45"/>
      <c r="T81" s="45"/>
      <c r="U81" s="590"/>
      <c r="V81" s="45"/>
      <c r="W81" s="45"/>
      <c r="X81" s="45"/>
      <c r="Y81" s="45"/>
      <c r="Z81" s="45"/>
      <c r="AA81" s="45"/>
      <c r="AB81" s="47"/>
      <c r="AC81" s="47"/>
      <c r="AD81" s="47"/>
      <c r="AE81" s="47"/>
    </row>
    <row r="82" s="119" customFormat="true" ht="11.25" hidden="false" customHeight="true" outlineLevel="0" collapsed="false">
      <c r="A82" s="589"/>
      <c r="B82" s="47"/>
      <c r="C82" s="47"/>
      <c r="K82" s="45"/>
      <c r="L82" s="47"/>
      <c r="M82" s="47"/>
      <c r="N82" s="45"/>
      <c r="O82" s="45"/>
      <c r="P82" s="45"/>
      <c r="Q82" s="45"/>
      <c r="R82" s="47"/>
      <c r="S82" s="45"/>
      <c r="T82" s="45"/>
      <c r="U82" s="590"/>
      <c r="V82" s="45"/>
      <c r="W82" s="45"/>
      <c r="X82" s="45"/>
      <c r="Y82" s="45"/>
      <c r="Z82" s="45"/>
      <c r="AA82" s="45"/>
      <c r="AB82" s="47"/>
      <c r="AC82" s="47"/>
      <c r="AD82" s="47"/>
      <c r="AE82" s="47"/>
    </row>
    <row r="83" s="119" customFormat="true" ht="11.25" hidden="false" customHeight="true" outlineLevel="0" collapsed="false">
      <c r="A83" s="589"/>
      <c r="B83" s="47"/>
      <c r="C83" s="47"/>
      <c r="K83" s="45"/>
      <c r="L83" s="47"/>
      <c r="M83" s="47"/>
      <c r="N83" s="45"/>
      <c r="O83" s="45"/>
      <c r="P83" s="45"/>
      <c r="Q83" s="45"/>
      <c r="R83" s="47"/>
      <c r="S83" s="45"/>
      <c r="T83" s="45"/>
      <c r="U83" s="590"/>
      <c r="V83" s="45"/>
      <c r="W83" s="45"/>
      <c r="X83" s="45"/>
      <c r="Y83" s="45"/>
      <c r="Z83" s="45"/>
      <c r="AA83" s="45"/>
      <c r="AB83" s="47"/>
      <c r="AC83" s="47"/>
      <c r="AD83" s="47"/>
      <c r="AE83" s="47"/>
    </row>
    <row r="84" s="119" customFormat="true" ht="11.25" hidden="false" customHeight="true" outlineLevel="0" collapsed="false">
      <c r="A84" s="589"/>
      <c r="B84" s="47"/>
      <c r="C84" s="47"/>
      <c r="K84" s="45"/>
      <c r="L84" s="47"/>
      <c r="M84" s="47"/>
      <c r="N84" s="45"/>
      <c r="O84" s="45"/>
      <c r="P84" s="45"/>
      <c r="Q84" s="45"/>
      <c r="R84" s="47"/>
      <c r="S84" s="45"/>
      <c r="T84" s="45"/>
      <c r="U84" s="590"/>
      <c r="V84" s="45"/>
      <c r="W84" s="45"/>
      <c r="X84" s="45"/>
      <c r="Y84" s="45"/>
      <c r="Z84" s="45"/>
      <c r="AA84" s="45"/>
      <c r="AB84" s="47"/>
      <c r="AC84" s="47"/>
      <c r="AD84" s="47"/>
      <c r="AE84" s="47"/>
    </row>
    <row r="85" s="119" customFormat="true" ht="11.25" hidden="false" customHeight="true" outlineLevel="0" collapsed="false">
      <c r="A85" s="589"/>
      <c r="B85" s="47"/>
      <c r="C85" s="47"/>
      <c r="K85" s="45"/>
      <c r="L85" s="47"/>
      <c r="M85" s="47"/>
      <c r="N85" s="45"/>
      <c r="O85" s="45"/>
      <c r="P85" s="45"/>
      <c r="Q85" s="45"/>
      <c r="R85" s="47"/>
      <c r="S85" s="45"/>
      <c r="T85" s="45"/>
      <c r="U85" s="590"/>
      <c r="V85" s="45"/>
      <c r="W85" s="45"/>
      <c r="X85" s="45"/>
      <c r="Y85" s="45"/>
      <c r="Z85" s="45"/>
      <c r="AA85" s="45"/>
      <c r="AB85" s="47"/>
      <c r="AC85" s="47"/>
      <c r="AD85" s="47"/>
      <c r="AE85" s="47"/>
    </row>
    <row r="86" s="119" customFormat="true" ht="11.25" hidden="false" customHeight="true" outlineLevel="0" collapsed="false">
      <c r="A86" s="589"/>
      <c r="B86" s="47"/>
      <c r="C86" s="47"/>
      <c r="K86" s="45"/>
      <c r="L86" s="47"/>
      <c r="M86" s="47"/>
      <c r="N86" s="45"/>
      <c r="O86" s="45"/>
      <c r="P86" s="45"/>
      <c r="Q86" s="45"/>
      <c r="R86" s="47"/>
      <c r="S86" s="45"/>
      <c r="T86" s="45"/>
      <c r="U86" s="590"/>
      <c r="V86" s="45"/>
      <c r="W86" s="45"/>
      <c r="X86" s="45"/>
      <c r="Y86" s="45"/>
      <c r="Z86" s="45"/>
      <c r="AA86" s="45"/>
      <c r="AB86" s="47"/>
      <c r="AC86" s="47"/>
      <c r="AD86" s="47"/>
      <c r="AE86" s="47"/>
    </row>
    <row r="87" s="119" customFormat="true" ht="11.25" hidden="false" customHeight="true" outlineLevel="0" collapsed="false">
      <c r="A87" s="589"/>
      <c r="B87" s="47"/>
      <c r="C87" s="47"/>
      <c r="K87" s="45"/>
      <c r="L87" s="47"/>
      <c r="M87" s="47"/>
      <c r="N87" s="45"/>
      <c r="O87" s="45"/>
      <c r="P87" s="45"/>
      <c r="Q87" s="45"/>
      <c r="R87" s="47"/>
      <c r="S87" s="45"/>
      <c r="T87" s="45"/>
      <c r="U87" s="590"/>
      <c r="V87" s="45"/>
      <c r="W87" s="45"/>
      <c r="X87" s="45"/>
      <c r="Y87" s="45"/>
      <c r="Z87" s="45"/>
      <c r="AA87" s="45"/>
      <c r="AB87" s="47"/>
      <c r="AC87" s="47"/>
      <c r="AD87" s="47"/>
      <c r="AE87" s="47"/>
    </row>
    <row r="88" s="119" customFormat="true" ht="11.25" hidden="false" customHeight="true" outlineLevel="0" collapsed="false">
      <c r="A88" s="589"/>
      <c r="B88" s="47"/>
      <c r="C88" s="47"/>
      <c r="K88" s="45"/>
      <c r="L88" s="47"/>
      <c r="M88" s="47"/>
      <c r="N88" s="45"/>
      <c r="O88" s="45"/>
      <c r="P88" s="45"/>
      <c r="Q88" s="45"/>
      <c r="R88" s="47"/>
      <c r="S88" s="45"/>
      <c r="T88" s="45"/>
      <c r="U88" s="590"/>
      <c r="V88" s="45"/>
      <c r="W88" s="45"/>
      <c r="X88" s="45"/>
      <c r="Y88" s="45"/>
      <c r="Z88" s="45"/>
      <c r="AA88" s="45"/>
      <c r="AB88" s="47"/>
      <c r="AC88" s="47"/>
      <c r="AD88" s="47"/>
      <c r="AE88" s="47"/>
    </row>
    <row r="89" s="119" customFormat="true" ht="11.25" hidden="false" customHeight="true" outlineLevel="0" collapsed="false">
      <c r="A89" s="589"/>
      <c r="B89" s="47"/>
      <c r="C89" s="47"/>
      <c r="K89" s="45"/>
      <c r="L89" s="47"/>
      <c r="M89" s="47"/>
      <c r="N89" s="45"/>
      <c r="O89" s="45"/>
      <c r="P89" s="45"/>
      <c r="Q89" s="45"/>
      <c r="R89" s="47"/>
      <c r="S89" s="45"/>
      <c r="T89" s="45"/>
      <c r="U89" s="590"/>
      <c r="V89" s="45"/>
      <c r="W89" s="45"/>
      <c r="X89" s="45"/>
      <c r="Y89" s="45"/>
      <c r="Z89" s="45"/>
      <c r="AA89" s="45"/>
      <c r="AB89" s="47"/>
      <c r="AC89" s="47"/>
      <c r="AD89" s="47"/>
      <c r="AE89" s="47"/>
    </row>
    <row r="90" s="119" customFormat="true" ht="11.25" hidden="false" customHeight="true" outlineLevel="0" collapsed="false">
      <c r="A90" s="589"/>
      <c r="B90" s="47"/>
      <c r="C90" s="47"/>
      <c r="K90" s="45"/>
      <c r="L90" s="47"/>
      <c r="M90" s="47"/>
      <c r="N90" s="45"/>
      <c r="O90" s="45"/>
      <c r="P90" s="45"/>
      <c r="Q90" s="45"/>
      <c r="R90" s="47"/>
      <c r="S90" s="45"/>
      <c r="T90" s="45"/>
      <c r="U90" s="590"/>
      <c r="V90" s="45"/>
      <c r="W90" s="45"/>
      <c r="X90" s="45"/>
      <c r="Y90" s="45"/>
      <c r="Z90" s="45"/>
      <c r="AA90" s="45"/>
      <c r="AB90" s="47"/>
      <c r="AC90" s="47"/>
      <c r="AD90" s="47"/>
      <c r="AE90" s="47"/>
    </row>
    <row r="91" s="119" customFormat="true" ht="11.25" hidden="false" customHeight="true" outlineLevel="0" collapsed="false">
      <c r="A91" s="589"/>
      <c r="B91" s="47"/>
      <c r="C91" s="47"/>
      <c r="K91" s="45"/>
      <c r="L91" s="47"/>
      <c r="M91" s="47"/>
      <c r="N91" s="45"/>
      <c r="O91" s="45"/>
      <c r="P91" s="45"/>
      <c r="Q91" s="45"/>
      <c r="R91" s="47"/>
      <c r="S91" s="45"/>
      <c r="T91" s="45"/>
      <c r="U91" s="590"/>
      <c r="V91" s="45"/>
      <c r="W91" s="45"/>
      <c r="X91" s="45"/>
      <c r="Y91" s="45"/>
      <c r="Z91" s="45"/>
      <c r="AA91" s="45"/>
      <c r="AB91" s="47"/>
      <c r="AC91" s="47"/>
      <c r="AD91" s="47"/>
      <c r="AE91" s="47"/>
    </row>
    <row r="92" s="119" customFormat="true" ht="11.25" hidden="false" customHeight="true" outlineLevel="0" collapsed="false">
      <c r="A92" s="589"/>
      <c r="B92" s="47"/>
      <c r="C92" s="47"/>
      <c r="K92" s="45"/>
      <c r="L92" s="47"/>
      <c r="M92" s="47"/>
      <c r="N92" s="45"/>
      <c r="O92" s="45"/>
      <c r="P92" s="45"/>
      <c r="Q92" s="45"/>
      <c r="R92" s="47"/>
      <c r="S92" s="45"/>
      <c r="T92" s="45"/>
      <c r="U92" s="590"/>
      <c r="V92" s="45"/>
      <c r="W92" s="45"/>
      <c r="X92" s="45"/>
      <c r="Y92" s="45"/>
      <c r="Z92" s="45"/>
      <c r="AA92" s="45"/>
      <c r="AB92" s="47"/>
      <c r="AC92" s="47"/>
      <c r="AD92" s="47"/>
      <c r="AE92" s="47"/>
    </row>
    <row r="93" s="119" customFormat="true" ht="11.25" hidden="false" customHeight="true" outlineLevel="0" collapsed="false">
      <c r="A93" s="589"/>
      <c r="B93" s="47"/>
      <c r="C93" s="47"/>
      <c r="K93" s="45"/>
      <c r="L93" s="47"/>
      <c r="M93" s="47"/>
      <c r="N93" s="45"/>
      <c r="O93" s="45"/>
      <c r="P93" s="45"/>
      <c r="Q93" s="45"/>
      <c r="R93" s="47"/>
      <c r="S93" s="45"/>
      <c r="T93" s="45"/>
      <c r="U93" s="590"/>
      <c r="V93" s="45"/>
      <c r="W93" s="45"/>
      <c r="X93" s="45"/>
      <c r="Y93" s="45"/>
      <c r="Z93" s="45"/>
      <c r="AA93" s="45"/>
      <c r="AB93" s="47"/>
      <c r="AC93" s="47"/>
      <c r="AD93" s="47"/>
      <c r="AE93" s="47"/>
    </row>
    <row r="94" s="119" customFormat="true" ht="11.25" hidden="false" customHeight="true" outlineLevel="0" collapsed="false">
      <c r="A94" s="589"/>
      <c r="B94" s="47"/>
      <c r="C94" s="47"/>
      <c r="K94" s="45"/>
      <c r="L94" s="47"/>
      <c r="M94" s="47"/>
      <c r="N94" s="45"/>
      <c r="O94" s="45"/>
      <c r="P94" s="45"/>
      <c r="Q94" s="45"/>
      <c r="R94" s="47"/>
      <c r="S94" s="45"/>
      <c r="T94" s="45"/>
      <c r="U94" s="590"/>
      <c r="V94" s="45"/>
      <c r="W94" s="45"/>
      <c r="X94" s="45"/>
      <c r="Y94" s="45"/>
      <c r="Z94" s="45"/>
      <c r="AA94" s="45"/>
      <c r="AB94" s="47"/>
      <c r="AC94" s="47"/>
      <c r="AD94" s="47"/>
      <c r="AE94" s="47"/>
    </row>
    <row r="95" s="119" customFormat="true" ht="11.25" hidden="false" customHeight="true" outlineLevel="0" collapsed="false">
      <c r="A95" s="589"/>
      <c r="B95" s="47"/>
      <c r="C95" s="47"/>
      <c r="K95" s="45"/>
      <c r="L95" s="47"/>
      <c r="M95" s="47"/>
      <c r="N95" s="45"/>
      <c r="O95" s="45"/>
      <c r="P95" s="45"/>
      <c r="Q95" s="45"/>
      <c r="R95" s="47"/>
      <c r="S95" s="45"/>
      <c r="T95" s="45"/>
      <c r="U95" s="590"/>
      <c r="V95" s="45"/>
      <c r="W95" s="45"/>
      <c r="X95" s="45"/>
      <c r="Y95" s="45"/>
      <c r="Z95" s="45"/>
      <c r="AA95" s="45"/>
      <c r="AB95" s="47"/>
      <c r="AC95" s="47"/>
      <c r="AD95" s="47"/>
      <c r="AE95" s="47"/>
    </row>
    <row r="96" s="119" customFormat="true" ht="11.25" hidden="false" customHeight="true" outlineLevel="0" collapsed="false">
      <c r="A96" s="589"/>
      <c r="B96" s="47"/>
      <c r="C96" s="47"/>
      <c r="K96" s="45"/>
      <c r="L96" s="47"/>
      <c r="M96" s="47"/>
      <c r="N96" s="45"/>
      <c r="O96" s="45"/>
      <c r="P96" s="45"/>
      <c r="Q96" s="45"/>
      <c r="R96" s="47"/>
      <c r="S96" s="45"/>
      <c r="T96" s="45"/>
      <c r="U96" s="590"/>
      <c r="V96" s="45"/>
      <c r="W96" s="45"/>
      <c r="X96" s="45"/>
      <c r="Y96" s="45"/>
      <c r="Z96" s="45"/>
      <c r="AA96" s="45"/>
      <c r="AB96" s="47"/>
      <c r="AC96" s="47"/>
      <c r="AD96" s="47"/>
      <c r="AE96" s="47"/>
    </row>
    <row r="97" s="119" customFormat="true" ht="11.25" hidden="false" customHeight="true" outlineLevel="0" collapsed="false">
      <c r="A97" s="589"/>
      <c r="B97" s="47"/>
      <c r="C97" s="47"/>
      <c r="K97" s="45"/>
      <c r="L97" s="47"/>
      <c r="M97" s="47"/>
      <c r="N97" s="45"/>
      <c r="O97" s="45"/>
      <c r="P97" s="45"/>
      <c r="Q97" s="45"/>
      <c r="R97" s="47"/>
      <c r="S97" s="45"/>
      <c r="T97" s="45"/>
      <c r="U97" s="590"/>
      <c r="V97" s="45"/>
      <c r="W97" s="45"/>
      <c r="X97" s="45"/>
      <c r="Y97" s="45"/>
      <c r="Z97" s="45"/>
      <c r="AA97" s="45"/>
      <c r="AB97" s="47"/>
      <c r="AC97" s="47"/>
      <c r="AD97" s="47"/>
      <c r="AE97" s="47"/>
    </row>
    <row r="98" s="119" customFormat="true" ht="11.25" hidden="false" customHeight="true" outlineLevel="0" collapsed="false">
      <c r="A98" s="589"/>
      <c r="B98" s="47"/>
      <c r="C98" s="47"/>
      <c r="K98" s="45"/>
      <c r="L98" s="47"/>
      <c r="M98" s="47"/>
      <c r="N98" s="45"/>
      <c r="O98" s="45"/>
      <c r="P98" s="45"/>
      <c r="Q98" s="45"/>
      <c r="R98" s="47"/>
      <c r="S98" s="45"/>
      <c r="T98" s="45"/>
      <c r="U98" s="590"/>
      <c r="V98" s="45"/>
      <c r="W98" s="45"/>
      <c r="X98" s="45"/>
      <c r="Y98" s="45"/>
      <c r="Z98" s="45"/>
      <c r="AA98" s="45"/>
      <c r="AB98" s="47"/>
      <c r="AC98" s="47"/>
      <c r="AD98" s="47"/>
      <c r="AE98" s="47"/>
    </row>
    <row r="99" s="119" customFormat="true" ht="11.25" hidden="false" customHeight="true" outlineLevel="0" collapsed="false">
      <c r="A99" s="589"/>
      <c r="B99" s="47"/>
      <c r="C99" s="47"/>
      <c r="K99" s="45"/>
      <c r="L99" s="47"/>
      <c r="M99" s="47"/>
      <c r="N99" s="45"/>
      <c r="O99" s="45"/>
      <c r="P99" s="45"/>
      <c r="Q99" s="45"/>
      <c r="R99" s="47"/>
      <c r="S99" s="45"/>
      <c r="T99" s="45"/>
      <c r="U99" s="590"/>
      <c r="V99" s="45"/>
      <c r="W99" s="45"/>
      <c r="X99" s="45"/>
      <c r="Y99" s="45"/>
      <c r="Z99" s="45"/>
      <c r="AA99" s="45"/>
      <c r="AB99" s="47"/>
      <c r="AC99" s="47"/>
      <c r="AD99" s="47"/>
      <c r="AE99" s="47"/>
    </row>
    <row r="100" s="119" customFormat="true" ht="11.25" hidden="false" customHeight="true" outlineLevel="0" collapsed="false">
      <c r="A100" s="589"/>
      <c r="B100" s="47"/>
      <c r="C100" s="47"/>
      <c r="K100" s="45"/>
      <c r="L100" s="47"/>
      <c r="M100" s="47"/>
      <c r="N100" s="45"/>
      <c r="O100" s="45"/>
      <c r="P100" s="45"/>
      <c r="Q100" s="45"/>
      <c r="R100" s="47"/>
      <c r="S100" s="45"/>
      <c r="T100" s="45"/>
      <c r="U100" s="590"/>
      <c r="V100" s="45"/>
      <c r="W100" s="45"/>
      <c r="X100" s="45"/>
      <c r="Y100" s="45"/>
      <c r="Z100" s="45"/>
      <c r="AA100" s="45"/>
      <c r="AB100" s="47"/>
      <c r="AC100" s="47"/>
      <c r="AD100" s="47"/>
      <c r="AE100" s="47"/>
    </row>
    <row r="101" s="119" customFormat="true" ht="11.25" hidden="false" customHeight="true" outlineLevel="0" collapsed="false">
      <c r="A101" s="589"/>
      <c r="B101" s="47"/>
      <c r="C101" s="47"/>
      <c r="K101" s="45"/>
      <c r="L101" s="47"/>
      <c r="M101" s="47"/>
      <c r="N101" s="45"/>
      <c r="O101" s="45"/>
      <c r="P101" s="45"/>
      <c r="Q101" s="45"/>
      <c r="R101" s="47"/>
      <c r="S101" s="45"/>
      <c r="T101" s="45"/>
      <c r="U101" s="590"/>
      <c r="V101" s="45"/>
      <c r="W101" s="45"/>
      <c r="X101" s="45"/>
      <c r="Y101" s="45"/>
      <c r="Z101" s="45"/>
      <c r="AA101" s="45"/>
      <c r="AB101" s="47"/>
      <c r="AC101" s="47"/>
      <c r="AD101" s="47"/>
      <c r="AE101" s="47"/>
    </row>
    <row r="102" s="119" customFormat="true" ht="11.25" hidden="false" customHeight="true" outlineLevel="0" collapsed="false">
      <c r="A102" s="589"/>
      <c r="B102" s="47"/>
      <c r="C102" s="47"/>
      <c r="K102" s="45"/>
      <c r="L102" s="47"/>
      <c r="M102" s="47"/>
      <c r="N102" s="45"/>
      <c r="O102" s="45"/>
      <c r="P102" s="45"/>
      <c r="Q102" s="45"/>
      <c r="R102" s="47"/>
      <c r="S102" s="45"/>
      <c r="T102" s="45"/>
      <c r="U102" s="590"/>
      <c r="V102" s="45"/>
      <c r="W102" s="45"/>
      <c r="X102" s="45"/>
      <c r="Y102" s="45"/>
      <c r="Z102" s="45"/>
      <c r="AA102" s="45"/>
      <c r="AB102" s="47"/>
      <c r="AC102" s="47"/>
      <c r="AD102" s="47"/>
      <c r="AE102" s="47"/>
    </row>
    <row r="103" s="119" customFormat="true" ht="11.25" hidden="false" customHeight="true" outlineLevel="0" collapsed="false">
      <c r="A103" s="589"/>
      <c r="B103" s="47"/>
      <c r="C103" s="47"/>
      <c r="K103" s="45"/>
      <c r="L103" s="47"/>
      <c r="M103" s="47"/>
      <c r="N103" s="45"/>
      <c r="O103" s="45"/>
      <c r="P103" s="45"/>
      <c r="Q103" s="45"/>
      <c r="R103" s="47"/>
      <c r="S103" s="45"/>
      <c r="T103" s="45"/>
      <c r="U103" s="590"/>
      <c r="V103" s="45"/>
      <c r="W103" s="45"/>
      <c r="X103" s="45"/>
      <c r="Y103" s="45"/>
      <c r="Z103" s="45"/>
      <c r="AA103" s="45"/>
      <c r="AB103" s="47"/>
      <c r="AC103" s="47"/>
      <c r="AD103" s="47"/>
      <c r="AE103" s="47"/>
    </row>
    <row r="104" s="119" customFormat="true" ht="11.25" hidden="false" customHeight="true" outlineLevel="0" collapsed="false">
      <c r="A104" s="589"/>
      <c r="B104" s="47"/>
      <c r="C104" s="47"/>
      <c r="K104" s="45"/>
      <c r="L104" s="47"/>
      <c r="M104" s="47"/>
      <c r="N104" s="45"/>
      <c r="O104" s="45"/>
      <c r="P104" s="45"/>
      <c r="Q104" s="45"/>
      <c r="R104" s="47"/>
      <c r="S104" s="45"/>
      <c r="T104" s="45"/>
      <c r="U104" s="590"/>
      <c r="V104" s="45"/>
      <c r="W104" s="45"/>
      <c r="X104" s="45"/>
      <c r="Y104" s="45"/>
      <c r="Z104" s="45"/>
      <c r="AA104" s="45"/>
      <c r="AB104" s="47"/>
      <c r="AC104" s="47"/>
      <c r="AD104" s="47"/>
      <c r="AE104" s="47"/>
    </row>
    <row r="105" s="119" customFormat="true" ht="11.25" hidden="false" customHeight="true" outlineLevel="0" collapsed="false">
      <c r="A105" s="589"/>
      <c r="B105" s="47"/>
      <c r="C105" s="47"/>
      <c r="K105" s="45"/>
      <c r="L105" s="47"/>
      <c r="M105" s="47"/>
      <c r="N105" s="45"/>
      <c r="O105" s="45"/>
      <c r="P105" s="45"/>
      <c r="Q105" s="45"/>
      <c r="R105" s="47"/>
      <c r="S105" s="45"/>
      <c r="T105" s="45"/>
      <c r="U105" s="590"/>
      <c r="V105" s="45"/>
      <c r="W105" s="45"/>
      <c r="X105" s="45"/>
      <c r="Y105" s="45"/>
      <c r="Z105" s="45"/>
      <c r="AA105" s="45"/>
      <c r="AB105" s="47"/>
      <c r="AC105" s="47"/>
      <c r="AD105" s="47"/>
      <c r="AE105" s="47"/>
    </row>
    <row r="106" s="119" customFormat="true" ht="11.25" hidden="false" customHeight="true" outlineLevel="0" collapsed="false">
      <c r="A106" s="589"/>
      <c r="B106" s="47"/>
      <c r="C106" s="47"/>
      <c r="K106" s="45"/>
      <c r="L106" s="47"/>
      <c r="M106" s="47"/>
      <c r="N106" s="45"/>
      <c r="O106" s="45"/>
      <c r="P106" s="45"/>
      <c r="Q106" s="45"/>
      <c r="R106" s="47"/>
      <c r="S106" s="45"/>
      <c r="T106" s="45"/>
      <c r="U106" s="590"/>
      <c r="V106" s="45"/>
      <c r="W106" s="45"/>
      <c r="X106" s="45"/>
      <c r="Y106" s="45"/>
      <c r="Z106" s="45"/>
      <c r="AA106" s="45"/>
      <c r="AB106" s="47"/>
      <c r="AC106" s="47"/>
      <c r="AD106" s="47"/>
      <c r="AE106" s="47"/>
    </row>
    <row r="107" s="119" customFormat="true" ht="11.25" hidden="false" customHeight="true" outlineLevel="0" collapsed="false">
      <c r="A107" s="589"/>
      <c r="B107" s="47"/>
      <c r="C107" s="47"/>
      <c r="K107" s="45"/>
      <c r="L107" s="47"/>
      <c r="M107" s="47"/>
      <c r="N107" s="45"/>
      <c r="O107" s="45"/>
      <c r="P107" s="45"/>
      <c r="Q107" s="45"/>
      <c r="R107" s="47"/>
      <c r="S107" s="45"/>
      <c r="T107" s="45"/>
      <c r="U107" s="590"/>
      <c r="V107" s="45"/>
      <c r="W107" s="45"/>
      <c r="X107" s="45"/>
      <c r="Y107" s="45"/>
      <c r="Z107" s="45"/>
      <c r="AA107" s="45"/>
      <c r="AB107" s="47"/>
      <c r="AC107" s="47"/>
      <c r="AD107" s="47"/>
      <c r="AE107" s="47"/>
    </row>
    <row r="108" s="119" customFormat="true" ht="11.25" hidden="false" customHeight="true" outlineLevel="0" collapsed="false">
      <c r="A108" s="589"/>
      <c r="B108" s="47"/>
      <c r="C108" s="47"/>
      <c r="K108" s="45"/>
      <c r="L108" s="47"/>
      <c r="M108" s="47"/>
      <c r="N108" s="45"/>
      <c r="O108" s="45"/>
      <c r="P108" s="45"/>
      <c r="Q108" s="45"/>
      <c r="R108" s="47"/>
      <c r="S108" s="45"/>
      <c r="T108" s="45"/>
      <c r="U108" s="590"/>
      <c r="V108" s="45"/>
      <c r="W108" s="45"/>
      <c r="X108" s="45"/>
      <c r="Y108" s="45"/>
      <c r="Z108" s="45"/>
      <c r="AA108" s="45"/>
      <c r="AB108" s="47"/>
      <c r="AC108" s="47"/>
      <c r="AD108" s="47"/>
      <c r="AE108" s="47"/>
    </row>
    <row r="109" s="119" customFormat="true" ht="11.25" hidden="false" customHeight="true" outlineLevel="0" collapsed="false">
      <c r="A109" s="589"/>
      <c r="B109" s="47"/>
      <c r="C109" s="47"/>
      <c r="K109" s="45"/>
      <c r="L109" s="47"/>
      <c r="M109" s="47"/>
      <c r="N109" s="45"/>
      <c r="O109" s="45"/>
      <c r="P109" s="45"/>
      <c r="Q109" s="45"/>
      <c r="R109" s="47"/>
      <c r="S109" s="45"/>
      <c r="T109" s="45"/>
      <c r="U109" s="590"/>
      <c r="V109" s="45"/>
      <c r="W109" s="45"/>
      <c r="X109" s="45"/>
      <c r="Y109" s="45"/>
      <c r="Z109" s="45"/>
      <c r="AA109" s="45"/>
      <c r="AB109" s="47"/>
      <c r="AC109" s="47"/>
      <c r="AD109" s="47"/>
      <c r="AE109" s="47"/>
    </row>
    <row r="110" s="119" customFormat="true" ht="11.25" hidden="false" customHeight="true" outlineLevel="0" collapsed="false">
      <c r="A110" s="589"/>
      <c r="B110" s="47"/>
      <c r="C110" s="47"/>
      <c r="K110" s="45"/>
      <c r="L110" s="47"/>
      <c r="M110" s="47"/>
      <c r="N110" s="45"/>
      <c r="O110" s="45"/>
      <c r="P110" s="45"/>
      <c r="Q110" s="45"/>
      <c r="R110" s="47"/>
      <c r="S110" s="45"/>
      <c r="T110" s="45"/>
      <c r="U110" s="590"/>
      <c r="V110" s="45"/>
      <c r="W110" s="45"/>
      <c r="X110" s="45"/>
      <c r="Y110" s="45"/>
      <c r="Z110" s="45"/>
      <c r="AA110" s="45"/>
      <c r="AB110" s="47"/>
      <c r="AC110" s="47"/>
      <c r="AD110" s="47"/>
      <c r="AE110" s="47"/>
    </row>
    <row r="111" s="119" customFormat="true" ht="11.25" hidden="false" customHeight="true" outlineLevel="0" collapsed="false">
      <c r="A111" s="589"/>
      <c r="B111" s="47"/>
      <c r="C111" s="47"/>
      <c r="K111" s="45"/>
      <c r="L111" s="47"/>
      <c r="M111" s="47"/>
      <c r="N111" s="45"/>
      <c r="O111" s="45"/>
      <c r="P111" s="45"/>
      <c r="Q111" s="45"/>
      <c r="R111" s="47"/>
      <c r="S111" s="45"/>
      <c r="T111" s="45"/>
      <c r="U111" s="590"/>
      <c r="V111" s="45"/>
      <c r="W111" s="45"/>
      <c r="X111" s="45"/>
      <c r="Y111" s="45"/>
      <c r="Z111" s="45"/>
      <c r="AA111" s="45"/>
      <c r="AB111" s="47"/>
      <c r="AC111" s="47"/>
      <c r="AD111" s="47"/>
      <c r="AE111" s="47"/>
    </row>
    <row r="112" s="119" customFormat="true" ht="11.25" hidden="false" customHeight="true" outlineLevel="0" collapsed="false">
      <c r="A112" s="589"/>
      <c r="B112" s="47"/>
      <c r="C112" s="47"/>
      <c r="K112" s="45"/>
      <c r="L112" s="47"/>
      <c r="M112" s="47"/>
      <c r="N112" s="45"/>
      <c r="O112" s="45"/>
      <c r="P112" s="45"/>
      <c r="Q112" s="45"/>
      <c r="R112" s="47"/>
      <c r="S112" s="45"/>
      <c r="T112" s="45"/>
      <c r="U112" s="590"/>
      <c r="V112" s="45"/>
      <c r="W112" s="45"/>
      <c r="X112" s="45"/>
      <c r="Y112" s="45"/>
      <c r="Z112" s="45"/>
      <c r="AA112" s="45"/>
      <c r="AB112" s="47"/>
      <c r="AC112" s="47"/>
      <c r="AD112" s="47"/>
      <c r="AE112" s="47"/>
    </row>
    <row r="113" s="119" customFormat="true" ht="11.25" hidden="false" customHeight="true" outlineLevel="0" collapsed="false">
      <c r="A113" s="589"/>
      <c r="B113" s="47"/>
      <c r="C113" s="47"/>
      <c r="K113" s="45"/>
      <c r="L113" s="47"/>
      <c r="M113" s="47"/>
      <c r="N113" s="45"/>
      <c r="O113" s="45"/>
      <c r="P113" s="45"/>
      <c r="Q113" s="45"/>
      <c r="R113" s="47"/>
      <c r="S113" s="45"/>
      <c r="T113" s="45"/>
      <c r="U113" s="590"/>
      <c r="V113" s="45"/>
      <c r="W113" s="45"/>
      <c r="X113" s="45"/>
      <c r="Y113" s="45"/>
      <c r="Z113" s="45"/>
      <c r="AA113" s="45"/>
      <c r="AB113" s="47"/>
      <c r="AC113" s="47"/>
      <c r="AD113" s="47"/>
      <c r="AE113" s="47"/>
    </row>
    <row r="114" s="119" customFormat="true" ht="11.25" hidden="false" customHeight="true" outlineLevel="0" collapsed="false">
      <c r="A114" s="589"/>
      <c r="B114" s="47"/>
      <c r="C114" s="47"/>
      <c r="K114" s="45"/>
      <c r="L114" s="47"/>
      <c r="M114" s="47"/>
      <c r="N114" s="45"/>
      <c r="O114" s="45"/>
      <c r="P114" s="45"/>
      <c r="Q114" s="45"/>
      <c r="R114" s="47"/>
      <c r="S114" s="45"/>
      <c r="T114" s="45"/>
      <c r="U114" s="590"/>
      <c r="V114" s="45"/>
      <c r="W114" s="45"/>
      <c r="X114" s="45"/>
      <c r="Y114" s="45"/>
      <c r="Z114" s="45"/>
      <c r="AA114" s="45"/>
      <c r="AB114" s="47"/>
      <c r="AC114" s="47"/>
      <c r="AD114" s="47"/>
      <c r="AE114" s="47"/>
    </row>
    <row r="115" s="119" customFormat="true" ht="11.25" hidden="false" customHeight="true" outlineLevel="0" collapsed="false">
      <c r="A115" s="589"/>
      <c r="B115" s="47"/>
      <c r="C115" s="47"/>
      <c r="K115" s="45"/>
      <c r="L115" s="47"/>
      <c r="M115" s="47"/>
      <c r="N115" s="45"/>
      <c r="O115" s="45"/>
      <c r="P115" s="45"/>
      <c r="Q115" s="45"/>
      <c r="R115" s="47"/>
      <c r="S115" s="45"/>
      <c r="T115" s="45"/>
      <c r="U115" s="590"/>
      <c r="V115" s="45"/>
      <c r="W115" s="45"/>
      <c r="X115" s="45"/>
      <c r="Y115" s="45"/>
      <c r="Z115" s="45"/>
      <c r="AA115" s="45"/>
      <c r="AB115" s="47"/>
      <c r="AC115" s="47"/>
      <c r="AD115" s="47"/>
      <c r="AE115" s="47"/>
    </row>
    <row r="116" s="119" customFormat="true" ht="11.25" hidden="false" customHeight="true" outlineLevel="0" collapsed="false">
      <c r="A116" s="589"/>
      <c r="B116" s="47"/>
      <c r="C116" s="47"/>
      <c r="K116" s="45"/>
      <c r="L116" s="47"/>
      <c r="M116" s="47"/>
      <c r="N116" s="45"/>
      <c r="O116" s="45"/>
      <c r="P116" s="45"/>
      <c r="Q116" s="45"/>
      <c r="R116" s="47"/>
      <c r="S116" s="45"/>
      <c r="T116" s="45"/>
      <c r="U116" s="590"/>
      <c r="V116" s="45"/>
      <c r="W116" s="45"/>
      <c r="X116" s="45"/>
      <c r="Y116" s="45"/>
      <c r="Z116" s="45"/>
      <c r="AA116" s="45"/>
      <c r="AB116" s="47"/>
      <c r="AC116" s="47"/>
      <c r="AD116" s="47"/>
      <c r="AE116" s="47"/>
    </row>
    <row r="117" s="119" customFormat="true" ht="11.25" hidden="false" customHeight="true" outlineLevel="0" collapsed="false">
      <c r="A117" s="589"/>
      <c r="B117" s="47"/>
      <c r="C117" s="47"/>
      <c r="K117" s="45"/>
      <c r="L117" s="47"/>
      <c r="M117" s="47"/>
      <c r="N117" s="45"/>
      <c r="O117" s="45"/>
      <c r="P117" s="45"/>
      <c r="Q117" s="45"/>
      <c r="R117" s="47"/>
      <c r="S117" s="45"/>
      <c r="T117" s="45"/>
      <c r="U117" s="590"/>
      <c r="V117" s="45"/>
      <c r="W117" s="45"/>
      <c r="X117" s="45"/>
      <c r="Y117" s="45"/>
      <c r="Z117" s="45"/>
      <c r="AA117" s="45"/>
      <c r="AB117" s="47"/>
      <c r="AC117" s="47"/>
      <c r="AD117" s="47"/>
      <c r="AE117" s="47"/>
    </row>
    <row r="118" s="119" customFormat="true" ht="11.25" hidden="false" customHeight="true" outlineLevel="0" collapsed="false">
      <c r="A118" s="589"/>
      <c r="B118" s="47"/>
      <c r="C118" s="47"/>
      <c r="K118" s="45"/>
      <c r="L118" s="47"/>
      <c r="M118" s="47"/>
      <c r="N118" s="45"/>
      <c r="O118" s="45"/>
      <c r="P118" s="45"/>
      <c r="Q118" s="45"/>
      <c r="R118" s="47"/>
      <c r="S118" s="45"/>
      <c r="T118" s="45"/>
      <c r="U118" s="590"/>
      <c r="V118" s="45"/>
      <c r="W118" s="45"/>
      <c r="X118" s="45"/>
      <c r="Y118" s="45"/>
      <c r="Z118" s="45"/>
      <c r="AA118" s="45"/>
      <c r="AB118" s="47"/>
      <c r="AC118" s="47"/>
      <c r="AD118" s="47"/>
      <c r="AE118" s="47"/>
    </row>
    <row r="119" s="119" customFormat="true" ht="11.25" hidden="false" customHeight="true" outlineLevel="0" collapsed="false">
      <c r="A119" s="589"/>
      <c r="B119" s="47"/>
      <c r="C119" s="47"/>
      <c r="K119" s="45"/>
      <c r="L119" s="47"/>
      <c r="M119" s="47"/>
      <c r="N119" s="45"/>
      <c r="O119" s="45"/>
      <c r="P119" s="45"/>
      <c r="Q119" s="45"/>
      <c r="R119" s="47"/>
      <c r="S119" s="45"/>
      <c r="T119" s="45"/>
      <c r="U119" s="590"/>
      <c r="V119" s="45"/>
      <c r="W119" s="45"/>
      <c r="X119" s="45"/>
      <c r="Y119" s="45"/>
      <c r="Z119" s="45"/>
      <c r="AA119" s="45"/>
      <c r="AB119" s="47"/>
      <c r="AC119" s="47"/>
      <c r="AD119" s="47"/>
      <c r="AE119" s="47"/>
    </row>
    <row r="120" s="119" customFormat="true" ht="11.25" hidden="false" customHeight="true" outlineLevel="0" collapsed="false">
      <c r="A120" s="589"/>
      <c r="B120" s="47"/>
      <c r="C120" s="47"/>
      <c r="K120" s="45"/>
      <c r="L120" s="47"/>
      <c r="M120" s="47"/>
      <c r="N120" s="45"/>
      <c r="O120" s="45"/>
      <c r="P120" s="45"/>
      <c r="Q120" s="45"/>
      <c r="R120" s="47"/>
      <c r="S120" s="45"/>
      <c r="T120" s="45"/>
      <c r="U120" s="590"/>
      <c r="V120" s="45"/>
      <c r="W120" s="45"/>
      <c r="X120" s="45"/>
      <c r="Y120" s="45"/>
      <c r="Z120" s="45"/>
      <c r="AA120" s="45"/>
      <c r="AB120" s="47"/>
      <c r="AC120" s="47"/>
      <c r="AD120" s="47"/>
      <c r="AE120" s="47"/>
    </row>
    <row r="121" s="119" customFormat="true" ht="11.25" hidden="false" customHeight="true" outlineLevel="0" collapsed="false">
      <c r="A121" s="589"/>
      <c r="B121" s="47"/>
      <c r="C121" s="47"/>
      <c r="K121" s="45"/>
      <c r="L121" s="47"/>
      <c r="M121" s="47"/>
      <c r="N121" s="45"/>
      <c r="O121" s="45"/>
      <c r="P121" s="45"/>
      <c r="Q121" s="45"/>
      <c r="R121" s="47"/>
      <c r="S121" s="45"/>
      <c r="T121" s="45"/>
      <c r="U121" s="590"/>
      <c r="V121" s="45"/>
      <c r="W121" s="45"/>
      <c r="X121" s="45"/>
      <c r="Y121" s="45"/>
      <c r="Z121" s="45"/>
      <c r="AA121" s="45"/>
      <c r="AB121" s="47"/>
      <c r="AC121" s="47"/>
      <c r="AD121" s="47"/>
      <c r="AE121" s="47"/>
    </row>
    <row r="122" s="119" customFormat="true" ht="11.25" hidden="false" customHeight="true" outlineLevel="0" collapsed="false">
      <c r="A122" s="589"/>
      <c r="B122" s="47"/>
      <c r="C122" s="47"/>
      <c r="K122" s="45"/>
      <c r="L122" s="47"/>
      <c r="M122" s="47"/>
      <c r="N122" s="45"/>
      <c r="O122" s="45"/>
      <c r="P122" s="45"/>
      <c r="Q122" s="45"/>
      <c r="R122" s="47"/>
      <c r="S122" s="45"/>
      <c r="T122" s="45"/>
      <c r="U122" s="590"/>
      <c r="V122" s="45"/>
      <c r="W122" s="45"/>
      <c r="X122" s="45"/>
      <c r="Y122" s="45"/>
      <c r="Z122" s="45"/>
      <c r="AA122" s="45"/>
      <c r="AB122" s="47"/>
      <c r="AC122" s="47"/>
      <c r="AD122" s="47"/>
      <c r="AE122" s="47"/>
    </row>
    <row r="123" s="119" customFormat="true" ht="11.25" hidden="false" customHeight="true" outlineLevel="0" collapsed="false">
      <c r="A123" s="589"/>
      <c r="B123" s="47"/>
      <c r="C123" s="47"/>
      <c r="K123" s="45"/>
      <c r="L123" s="47"/>
      <c r="M123" s="47"/>
      <c r="N123" s="45"/>
      <c r="O123" s="45"/>
      <c r="P123" s="45"/>
      <c r="Q123" s="45"/>
      <c r="R123" s="47"/>
      <c r="S123" s="45"/>
      <c r="T123" s="45"/>
      <c r="U123" s="590"/>
      <c r="V123" s="45"/>
      <c r="W123" s="45"/>
      <c r="X123" s="45"/>
      <c r="Y123" s="45"/>
      <c r="Z123" s="45"/>
      <c r="AA123" s="45"/>
      <c r="AB123" s="47"/>
      <c r="AC123" s="47"/>
      <c r="AD123" s="47"/>
      <c r="AE123" s="47"/>
    </row>
    <row r="124" s="119" customFormat="true" ht="11.25" hidden="false" customHeight="true" outlineLevel="0" collapsed="false">
      <c r="A124" s="589"/>
      <c r="B124" s="47"/>
      <c r="C124" s="47"/>
      <c r="K124" s="45"/>
      <c r="L124" s="47"/>
      <c r="M124" s="47"/>
      <c r="N124" s="45"/>
      <c r="O124" s="45"/>
      <c r="P124" s="45"/>
      <c r="Q124" s="45"/>
      <c r="R124" s="47"/>
      <c r="S124" s="45"/>
      <c r="T124" s="45"/>
      <c r="U124" s="590"/>
      <c r="V124" s="45"/>
      <c r="W124" s="45"/>
      <c r="X124" s="45"/>
      <c r="Y124" s="45"/>
      <c r="Z124" s="45"/>
      <c r="AA124" s="45"/>
      <c r="AB124" s="47"/>
      <c r="AC124" s="47"/>
      <c r="AD124" s="47"/>
      <c r="AE124" s="47"/>
    </row>
    <row r="125" s="119" customFormat="true" ht="11.25" hidden="false" customHeight="true" outlineLevel="0" collapsed="false">
      <c r="A125" s="589"/>
      <c r="B125" s="47"/>
      <c r="C125" s="47"/>
      <c r="K125" s="45"/>
      <c r="L125" s="47"/>
      <c r="M125" s="47"/>
      <c r="N125" s="45"/>
      <c r="O125" s="45"/>
      <c r="P125" s="45"/>
      <c r="Q125" s="45"/>
      <c r="R125" s="47"/>
      <c r="S125" s="45"/>
      <c r="T125" s="45"/>
      <c r="U125" s="590"/>
      <c r="V125" s="45"/>
      <c r="W125" s="45"/>
      <c r="X125" s="45"/>
      <c r="Y125" s="45"/>
      <c r="Z125" s="45"/>
      <c r="AA125" s="45"/>
      <c r="AB125" s="47"/>
      <c r="AC125" s="47"/>
      <c r="AD125" s="47"/>
      <c r="AE125" s="47"/>
    </row>
    <row r="126" s="119" customFormat="true" ht="11.25" hidden="false" customHeight="true" outlineLevel="0" collapsed="false">
      <c r="A126" s="589"/>
      <c r="B126" s="47"/>
      <c r="C126" s="47"/>
      <c r="K126" s="45"/>
      <c r="L126" s="47"/>
      <c r="M126" s="47"/>
      <c r="N126" s="45"/>
      <c r="O126" s="45"/>
      <c r="P126" s="45"/>
      <c r="Q126" s="45"/>
      <c r="R126" s="47"/>
      <c r="S126" s="45"/>
      <c r="T126" s="45"/>
      <c r="U126" s="590"/>
      <c r="V126" s="45"/>
      <c r="W126" s="45"/>
      <c r="X126" s="45"/>
      <c r="Y126" s="45"/>
      <c r="Z126" s="45"/>
      <c r="AA126" s="45"/>
      <c r="AB126" s="47"/>
      <c r="AC126" s="47"/>
      <c r="AD126" s="47"/>
      <c r="AE126" s="47"/>
    </row>
    <row r="127" s="119" customFormat="true" ht="11.25" hidden="false" customHeight="true" outlineLevel="0" collapsed="false">
      <c r="A127" s="589"/>
      <c r="B127" s="47"/>
      <c r="C127" s="47"/>
      <c r="K127" s="45"/>
      <c r="L127" s="47"/>
      <c r="M127" s="47"/>
      <c r="N127" s="45"/>
      <c r="O127" s="45"/>
      <c r="P127" s="45"/>
      <c r="Q127" s="45"/>
      <c r="R127" s="47"/>
      <c r="S127" s="45"/>
      <c r="T127" s="45"/>
      <c r="U127" s="590"/>
      <c r="V127" s="45"/>
      <c r="W127" s="45"/>
      <c r="X127" s="45"/>
      <c r="Y127" s="45"/>
      <c r="Z127" s="45"/>
      <c r="AA127" s="45"/>
      <c r="AB127" s="47"/>
      <c r="AC127" s="47"/>
      <c r="AD127" s="47"/>
      <c r="AE127" s="47"/>
    </row>
    <row r="128" s="119" customFormat="true" ht="11.25" hidden="false" customHeight="true" outlineLevel="0" collapsed="false">
      <c r="A128" s="589"/>
      <c r="B128" s="47"/>
      <c r="C128" s="47"/>
      <c r="K128" s="45"/>
      <c r="L128" s="47"/>
      <c r="M128" s="47"/>
      <c r="N128" s="45"/>
      <c r="O128" s="45"/>
      <c r="P128" s="45"/>
      <c r="Q128" s="45"/>
      <c r="R128" s="47"/>
      <c r="S128" s="45"/>
      <c r="T128" s="45"/>
      <c r="U128" s="590"/>
      <c r="V128" s="45"/>
      <c r="W128" s="45"/>
      <c r="X128" s="45"/>
      <c r="Y128" s="45"/>
      <c r="Z128" s="45"/>
      <c r="AA128" s="45"/>
      <c r="AB128" s="47"/>
      <c r="AC128" s="47"/>
      <c r="AD128" s="47"/>
      <c r="AE128" s="47"/>
    </row>
    <row r="129" s="119" customFormat="true" ht="11.25" hidden="false" customHeight="true" outlineLevel="0" collapsed="false">
      <c r="A129" s="589"/>
      <c r="B129" s="47"/>
      <c r="C129" s="47"/>
      <c r="K129" s="45"/>
      <c r="L129" s="47"/>
      <c r="M129" s="47"/>
      <c r="N129" s="45"/>
      <c r="O129" s="45"/>
      <c r="P129" s="45"/>
      <c r="Q129" s="45"/>
      <c r="R129" s="47"/>
      <c r="S129" s="45"/>
      <c r="T129" s="45"/>
      <c r="U129" s="590"/>
      <c r="V129" s="45"/>
      <c r="W129" s="45"/>
      <c r="X129" s="45"/>
      <c r="Y129" s="45"/>
      <c r="Z129" s="45"/>
      <c r="AA129" s="45"/>
      <c r="AB129" s="47"/>
      <c r="AC129" s="47"/>
      <c r="AD129" s="47"/>
      <c r="AE129" s="47"/>
    </row>
    <row r="130" s="119" customFormat="true" ht="11.25" hidden="false" customHeight="true" outlineLevel="0" collapsed="false">
      <c r="A130" s="589"/>
      <c r="B130" s="47"/>
      <c r="C130" s="47"/>
      <c r="K130" s="45"/>
      <c r="L130" s="47"/>
      <c r="M130" s="47"/>
      <c r="N130" s="45"/>
      <c r="O130" s="45"/>
      <c r="P130" s="45"/>
      <c r="Q130" s="45"/>
      <c r="R130" s="47"/>
      <c r="S130" s="45"/>
      <c r="T130" s="45"/>
      <c r="U130" s="590"/>
      <c r="V130" s="45"/>
      <c r="W130" s="45"/>
      <c r="X130" s="45"/>
      <c r="Y130" s="45"/>
      <c r="Z130" s="45"/>
      <c r="AA130" s="45"/>
      <c r="AB130" s="47"/>
      <c r="AC130" s="47"/>
      <c r="AD130" s="47"/>
      <c r="AE130" s="47"/>
    </row>
    <row r="131" s="119" customFormat="true" ht="11.25" hidden="false" customHeight="true" outlineLevel="0" collapsed="false">
      <c r="A131" s="589"/>
      <c r="B131" s="47"/>
      <c r="C131" s="47"/>
      <c r="K131" s="45"/>
      <c r="L131" s="47"/>
      <c r="M131" s="47"/>
      <c r="N131" s="45"/>
      <c r="O131" s="45"/>
      <c r="P131" s="45"/>
      <c r="Q131" s="45"/>
      <c r="R131" s="47"/>
      <c r="S131" s="45"/>
      <c r="T131" s="45"/>
      <c r="U131" s="590"/>
      <c r="V131" s="45"/>
      <c r="W131" s="45"/>
      <c r="X131" s="45"/>
      <c r="Y131" s="45"/>
      <c r="Z131" s="45"/>
      <c r="AA131" s="45"/>
      <c r="AB131" s="47"/>
      <c r="AC131" s="47"/>
      <c r="AD131" s="47"/>
      <c r="AE131" s="47"/>
    </row>
    <row r="132" s="119" customFormat="true" ht="11.25" hidden="false" customHeight="true" outlineLevel="0" collapsed="false">
      <c r="A132" s="589"/>
      <c r="B132" s="47"/>
      <c r="C132" s="47"/>
      <c r="K132" s="45"/>
      <c r="L132" s="47"/>
      <c r="M132" s="47"/>
      <c r="N132" s="45"/>
      <c r="O132" s="45"/>
      <c r="P132" s="45"/>
      <c r="Q132" s="45"/>
      <c r="R132" s="47"/>
      <c r="S132" s="45"/>
      <c r="T132" s="45"/>
      <c r="U132" s="590"/>
      <c r="V132" s="45"/>
      <c r="W132" s="45"/>
      <c r="X132" s="45"/>
      <c r="Y132" s="45"/>
      <c r="Z132" s="45"/>
      <c r="AA132" s="45"/>
      <c r="AB132" s="47"/>
      <c r="AC132" s="47"/>
      <c r="AD132" s="47"/>
      <c r="AE132" s="47"/>
    </row>
    <row r="133" s="119" customFormat="true" ht="11.25" hidden="false" customHeight="true" outlineLevel="0" collapsed="false">
      <c r="A133" s="589"/>
      <c r="B133" s="47"/>
      <c r="C133" s="47"/>
      <c r="K133" s="45"/>
      <c r="L133" s="47"/>
      <c r="M133" s="47"/>
      <c r="N133" s="45"/>
      <c r="O133" s="45"/>
      <c r="P133" s="45"/>
      <c r="Q133" s="45"/>
      <c r="R133" s="47"/>
      <c r="S133" s="45"/>
      <c r="T133" s="45"/>
      <c r="U133" s="590"/>
      <c r="V133" s="45"/>
      <c r="W133" s="45"/>
      <c r="X133" s="45"/>
      <c r="Y133" s="45"/>
      <c r="Z133" s="45"/>
      <c r="AA133" s="45"/>
      <c r="AB133" s="47"/>
      <c r="AC133" s="47"/>
      <c r="AD133" s="47"/>
      <c r="AE133" s="47"/>
    </row>
    <row r="134" s="119" customFormat="true" ht="11.25" hidden="false" customHeight="true" outlineLevel="0" collapsed="false">
      <c r="A134" s="589"/>
      <c r="B134" s="47"/>
      <c r="C134" s="47"/>
      <c r="K134" s="45"/>
      <c r="L134" s="47"/>
      <c r="M134" s="47"/>
      <c r="N134" s="45"/>
      <c r="O134" s="45"/>
      <c r="P134" s="45"/>
      <c r="Q134" s="45"/>
      <c r="R134" s="47"/>
      <c r="S134" s="45"/>
      <c r="T134" s="45"/>
      <c r="U134" s="590"/>
      <c r="V134" s="45"/>
      <c r="W134" s="45"/>
      <c r="X134" s="45"/>
      <c r="Y134" s="45"/>
      <c r="Z134" s="45"/>
      <c r="AA134" s="45"/>
      <c r="AB134" s="47"/>
      <c r="AC134" s="47"/>
      <c r="AD134" s="47"/>
      <c r="AE134" s="47"/>
    </row>
    <row r="135" s="119" customFormat="true" ht="11.25" hidden="false" customHeight="true" outlineLevel="0" collapsed="false">
      <c r="A135" s="589"/>
      <c r="B135" s="47"/>
      <c r="C135" s="47"/>
      <c r="K135" s="45"/>
      <c r="L135" s="47"/>
      <c r="M135" s="47"/>
      <c r="N135" s="45"/>
      <c r="O135" s="45"/>
      <c r="P135" s="45"/>
      <c r="Q135" s="45"/>
      <c r="R135" s="47"/>
      <c r="S135" s="45"/>
      <c r="T135" s="45"/>
      <c r="U135" s="590"/>
      <c r="V135" s="45"/>
      <c r="W135" s="45"/>
      <c r="X135" s="45"/>
      <c r="Y135" s="45"/>
      <c r="Z135" s="45"/>
      <c r="AA135" s="45"/>
      <c r="AB135" s="47"/>
      <c r="AC135" s="47"/>
      <c r="AD135" s="47"/>
      <c r="AE135" s="47"/>
    </row>
    <row r="136" s="119" customFormat="true" ht="11.25" hidden="false" customHeight="true" outlineLevel="0" collapsed="false">
      <c r="A136" s="589"/>
      <c r="B136" s="47"/>
      <c r="C136" s="47"/>
      <c r="K136" s="45"/>
      <c r="L136" s="47"/>
      <c r="M136" s="47"/>
      <c r="N136" s="45"/>
      <c r="O136" s="45"/>
      <c r="P136" s="45"/>
      <c r="Q136" s="45"/>
      <c r="R136" s="47"/>
      <c r="S136" s="45"/>
      <c r="T136" s="45"/>
      <c r="U136" s="590"/>
      <c r="V136" s="45"/>
      <c r="W136" s="45"/>
      <c r="X136" s="45"/>
      <c r="Y136" s="45"/>
      <c r="Z136" s="45"/>
      <c r="AA136" s="45"/>
      <c r="AB136" s="47"/>
      <c r="AC136" s="47"/>
      <c r="AD136" s="47"/>
      <c r="AE136" s="47"/>
    </row>
    <row r="137" s="119" customFormat="true" ht="11.25" hidden="false" customHeight="true" outlineLevel="0" collapsed="false">
      <c r="A137" s="589"/>
      <c r="B137" s="47"/>
      <c r="C137" s="47"/>
      <c r="K137" s="45"/>
      <c r="L137" s="47"/>
      <c r="M137" s="47"/>
      <c r="N137" s="45"/>
      <c r="O137" s="45"/>
      <c r="P137" s="45"/>
      <c r="Q137" s="45"/>
      <c r="R137" s="47"/>
      <c r="S137" s="45"/>
      <c r="T137" s="45"/>
      <c r="U137" s="590"/>
      <c r="V137" s="45"/>
      <c r="W137" s="45"/>
      <c r="X137" s="45"/>
      <c r="Y137" s="45"/>
      <c r="Z137" s="45"/>
      <c r="AA137" s="45"/>
      <c r="AB137" s="47"/>
      <c r="AC137" s="47"/>
      <c r="AD137" s="47"/>
      <c r="AE137" s="47"/>
    </row>
    <row r="138" s="119" customFormat="true" ht="11.25" hidden="false" customHeight="true" outlineLevel="0" collapsed="false">
      <c r="A138" s="589"/>
      <c r="B138" s="47"/>
      <c r="C138" s="47"/>
      <c r="K138" s="45"/>
      <c r="L138" s="47"/>
      <c r="M138" s="47"/>
      <c r="N138" s="45"/>
      <c r="O138" s="45"/>
      <c r="P138" s="45"/>
      <c r="Q138" s="45"/>
      <c r="R138" s="47"/>
      <c r="S138" s="45"/>
      <c r="T138" s="45"/>
      <c r="U138" s="590"/>
      <c r="V138" s="45"/>
      <c r="W138" s="45"/>
      <c r="X138" s="45"/>
      <c r="Y138" s="45"/>
      <c r="Z138" s="45"/>
      <c r="AA138" s="45"/>
      <c r="AB138" s="47"/>
      <c r="AC138" s="47"/>
      <c r="AD138" s="47"/>
      <c r="AE138" s="47"/>
    </row>
    <row r="139" s="119" customFormat="true" ht="11.25" hidden="false" customHeight="true" outlineLevel="0" collapsed="false">
      <c r="A139" s="589"/>
      <c r="B139" s="47"/>
      <c r="C139" s="47"/>
      <c r="K139" s="45"/>
      <c r="L139" s="47"/>
      <c r="M139" s="47"/>
      <c r="N139" s="45"/>
      <c r="O139" s="45"/>
      <c r="P139" s="45"/>
      <c r="Q139" s="45"/>
      <c r="R139" s="47"/>
      <c r="S139" s="45"/>
      <c r="T139" s="45"/>
      <c r="U139" s="590"/>
      <c r="V139" s="45"/>
      <c r="W139" s="45"/>
      <c r="X139" s="45"/>
      <c r="Y139" s="45"/>
      <c r="Z139" s="45"/>
      <c r="AA139" s="45"/>
      <c r="AB139" s="47"/>
      <c r="AC139" s="47"/>
      <c r="AD139" s="47"/>
      <c r="AE139" s="47"/>
    </row>
    <row r="140" s="119" customFormat="true" ht="11.25" hidden="false" customHeight="true" outlineLevel="0" collapsed="false">
      <c r="A140" s="589"/>
      <c r="B140" s="47"/>
      <c r="C140" s="47"/>
      <c r="K140" s="45"/>
      <c r="L140" s="47"/>
      <c r="M140" s="47"/>
      <c r="N140" s="45"/>
      <c r="O140" s="45"/>
      <c r="P140" s="45"/>
      <c r="Q140" s="45"/>
      <c r="R140" s="47"/>
      <c r="S140" s="45"/>
      <c r="T140" s="45"/>
      <c r="U140" s="590"/>
      <c r="V140" s="45"/>
      <c r="W140" s="45"/>
      <c r="X140" s="45"/>
      <c r="Y140" s="45"/>
      <c r="Z140" s="45"/>
      <c r="AA140" s="45"/>
      <c r="AB140" s="47"/>
      <c r="AC140" s="47"/>
      <c r="AD140" s="47"/>
      <c r="AE140" s="47"/>
    </row>
    <row r="141" s="119" customFormat="true" ht="11.25" hidden="false" customHeight="true" outlineLevel="0" collapsed="false">
      <c r="A141" s="589"/>
      <c r="B141" s="47"/>
      <c r="C141" s="47"/>
      <c r="K141" s="45"/>
      <c r="L141" s="47"/>
      <c r="M141" s="47"/>
      <c r="N141" s="45"/>
      <c r="O141" s="45"/>
      <c r="P141" s="45"/>
      <c r="Q141" s="45"/>
      <c r="R141" s="47"/>
      <c r="S141" s="45"/>
      <c r="T141" s="45"/>
      <c r="U141" s="590"/>
      <c r="V141" s="45"/>
      <c r="W141" s="45"/>
      <c r="X141" s="45"/>
      <c r="Y141" s="45"/>
      <c r="Z141" s="45"/>
      <c r="AA141" s="45"/>
      <c r="AB141" s="47"/>
      <c r="AC141" s="47"/>
      <c r="AD141" s="47"/>
      <c r="AE141" s="47"/>
    </row>
    <row r="142" s="119" customFormat="true" ht="11.25" hidden="false" customHeight="true" outlineLevel="0" collapsed="false">
      <c r="A142" s="589"/>
      <c r="B142" s="47"/>
      <c r="C142" s="47"/>
      <c r="K142" s="45"/>
      <c r="L142" s="47"/>
      <c r="M142" s="47"/>
      <c r="N142" s="45"/>
      <c r="O142" s="45"/>
      <c r="P142" s="45"/>
      <c r="Q142" s="45"/>
      <c r="R142" s="47"/>
      <c r="S142" s="45"/>
      <c r="T142" s="45"/>
      <c r="U142" s="590"/>
      <c r="V142" s="45"/>
      <c r="W142" s="45"/>
      <c r="X142" s="45"/>
      <c r="Y142" s="45"/>
      <c r="Z142" s="45"/>
      <c r="AA142" s="45"/>
      <c r="AB142" s="47"/>
      <c r="AC142" s="47"/>
      <c r="AD142" s="47"/>
      <c r="AE142" s="47"/>
    </row>
    <row r="143" s="119" customFormat="true" ht="11.25" hidden="false" customHeight="true" outlineLevel="0" collapsed="false">
      <c r="A143" s="589"/>
      <c r="B143" s="47"/>
      <c r="C143" s="47"/>
      <c r="K143" s="45"/>
      <c r="L143" s="47"/>
      <c r="M143" s="47"/>
      <c r="N143" s="45"/>
      <c r="O143" s="45"/>
      <c r="P143" s="45"/>
      <c r="Q143" s="45"/>
      <c r="R143" s="47"/>
      <c r="S143" s="45"/>
      <c r="T143" s="45"/>
      <c r="U143" s="590"/>
      <c r="V143" s="45"/>
      <c r="W143" s="45"/>
      <c r="X143" s="45"/>
      <c r="Y143" s="45"/>
      <c r="Z143" s="45"/>
      <c r="AA143" s="45"/>
      <c r="AB143" s="47"/>
      <c r="AC143" s="47"/>
      <c r="AD143" s="47"/>
      <c r="AE143" s="47"/>
    </row>
    <row r="144" s="119" customFormat="true" ht="11.25" hidden="false" customHeight="true" outlineLevel="0" collapsed="false">
      <c r="A144" s="589"/>
      <c r="B144" s="47"/>
      <c r="C144" s="47"/>
      <c r="K144" s="45"/>
      <c r="L144" s="47"/>
      <c r="M144" s="47"/>
      <c r="N144" s="45"/>
      <c r="O144" s="45"/>
      <c r="P144" s="45"/>
      <c r="Q144" s="45"/>
      <c r="R144" s="47"/>
      <c r="S144" s="45"/>
      <c r="T144" s="45"/>
      <c r="U144" s="590"/>
      <c r="V144" s="45"/>
      <c r="W144" s="45"/>
      <c r="X144" s="45"/>
      <c r="Y144" s="45"/>
      <c r="Z144" s="45"/>
      <c r="AA144" s="45"/>
      <c r="AB144" s="47"/>
      <c r="AC144" s="47"/>
      <c r="AD144" s="47"/>
      <c r="AE144" s="47"/>
    </row>
    <row r="145" s="119" customFormat="true" ht="11.25" hidden="false" customHeight="true" outlineLevel="0" collapsed="false">
      <c r="A145" s="589"/>
      <c r="B145" s="47"/>
      <c r="C145" s="47"/>
      <c r="K145" s="45"/>
      <c r="L145" s="47"/>
      <c r="M145" s="47"/>
      <c r="N145" s="45"/>
      <c r="O145" s="45"/>
      <c r="P145" s="45"/>
      <c r="Q145" s="45"/>
      <c r="R145" s="47"/>
      <c r="S145" s="45"/>
      <c r="T145" s="45"/>
      <c r="U145" s="590"/>
      <c r="V145" s="45"/>
      <c r="W145" s="45"/>
      <c r="X145" s="45"/>
      <c r="Y145" s="45"/>
      <c r="Z145" s="45"/>
      <c r="AA145" s="45"/>
      <c r="AB145" s="47"/>
      <c r="AC145" s="47"/>
      <c r="AD145" s="47"/>
      <c r="AE145" s="47"/>
    </row>
    <row r="146" s="119" customFormat="true" ht="11.25" hidden="false" customHeight="true" outlineLevel="0" collapsed="false">
      <c r="A146" s="589"/>
      <c r="B146" s="47"/>
      <c r="C146" s="47"/>
      <c r="K146" s="45"/>
      <c r="L146" s="47"/>
      <c r="M146" s="47"/>
      <c r="N146" s="45"/>
      <c r="O146" s="45"/>
      <c r="P146" s="45"/>
      <c r="Q146" s="45"/>
      <c r="R146" s="47"/>
      <c r="S146" s="45"/>
      <c r="T146" s="45"/>
      <c r="U146" s="590"/>
      <c r="V146" s="45"/>
      <c r="W146" s="45"/>
      <c r="X146" s="45"/>
      <c r="Y146" s="45"/>
      <c r="Z146" s="45"/>
      <c r="AA146" s="45"/>
      <c r="AB146" s="47"/>
      <c r="AC146" s="47"/>
      <c r="AD146" s="47"/>
      <c r="AE146" s="47"/>
    </row>
    <row r="147" s="119" customFormat="true" ht="11.25" hidden="false" customHeight="true" outlineLevel="0" collapsed="false">
      <c r="A147" s="589"/>
      <c r="B147" s="47"/>
      <c r="C147" s="47"/>
      <c r="K147" s="45"/>
      <c r="L147" s="47"/>
      <c r="M147" s="47"/>
      <c r="N147" s="45"/>
      <c r="O147" s="45"/>
      <c r="P147" s="45"/>
      <c r="Q147" s="45"/>
      <c r="R147" s="47"/>
      <c r="S147" s="45"/>
      <c r="T147" s="45"/>
      <c r="U147" s="590"/>
      <c r="V147" s="45"/>
      <c r="W147" s="45"/>
      <c r="X147" s="45"/>
      <c r="Y147" s="45"/>
      <c r="Z147" s="45"/>
      <c r="AA147" s="45"/>
      <c r="AB147" s="47"/>
      <c r="AC147" s="47"/>
      <c r="AD147" s="47"/>
      <c r="AE147" s="47"/>
    </row>
    <row r="148" s="119" customFormat="true" ht="11.25" hidden="false" customHeight="true" outlineLevel="0" collapsed="false">
      <c r="A148" s="589"/>
      <c r="B148" s="47"/>
      <c r="C148" s="47"/>
      <c r="K148" s="45"/>
      <c r="L148" s="47"/>
      <c r="M148" s="47"/>
      <c r="N148" s="45"/>
      <c r="O148" s="45"/>
      <c r="P148" s="45"/>
      <c r="Q148" s="45"/>
      <c r="R148" s="47"/>
      <c r="S148" s="45"/>
      <c r="T148" s="45"/>
      <c r="U148" s="590"/>
      <c r="V148" s="45"/>
      <c r="W148" s="45"/>
      <c r="X148" s="45"/>
      <c r="Y148" s="45"/>
      <c r="Z148" s="45"/>
      <c r="AA148" s="45"/>
      <c r="AB148" s="47"/>
      <c r="AC148" s="47"/>
      <c r="AD148" s="47"/>
      <c r="AE148" s="47"/>
    </row>
    <row r="149" s="119" customFormat="true" ht="11.25" hidden="false" customHeight="true" outlineLevel="0" collapsed="false">
      <c r="A149" s="589"/>
      <c r="B149" s="47"/>
      <c r="C149" s="47"/>
      <c r="K149" s="45"/>
      <c r="L149" s="47"/>
      <c r="M149" s="47"/>
      <c r="N149" s="45"/>
      <c r="O149" s="45"/>
      <c r="P149" s="45"/>
      <c r="Q149" s="45"/>
      <c r="R149" s="47"/>
      <c r="S149" s="45"/>
      <c r="T149" s="45"/>
      <c r="U149" s="590"/>
      <c r="V149" s="45"/>
      <c r="W149" s="45"/>
      <c r="X149" s="45"/>
      <c r="Y149" s="45"/>
      <c r="Z149" s="45"/>
      <c r="AA149" s="45"/>
      <c r="AB149" s="47"/>
      <c r="AC149" s="47"/>
      <c r="AD149" s="47"/>
      <c r="AE149" s="47"/>
    </row>
    <row r="150" s="119" customFormat="true" ht="11.25" hidden="false" customHeight="true" outlineLevel="0" collapsed="false">
      <c r="A150" s="589"/>
      <c r="B150" s="47"/>
      <c r="C150" s="47"/>
      <c r="K150" s="45"/>
      <c r="L150" s="47"/>
      <c r="M150" s="47"/>
      <c r="N150" s="45"/>
      <c r="O150" s="45"/>
      <c r="P150" s="45"/>
      <c r="Q150" s="45"/>
      <c r="R150" s="47"/>
      <c r="S150" s="45"/>
      <c r="T150" s="45"/>
      <c r="U150" s="590"/>
      <c r="V150" s="45"/>
      <c r="W150" s="45"/>
      <c r="X150" s="45"/>
      <c r="Y150" s="45"/>
      <c r="Z150" s="45"/>
      <c r="AA150" s="45"/>
      <c r="AB150" s="47"/>
      <c r="AC150" s="47"/>
      <c r="AD150" s="47"/>
      <c r="AE150" s="47"/>
    </row>
    <row r="151" s="119" customFormat="true" ht="11.25" hidden="false" customHeight="true" outlineLevel="0" collapsed="false">
      <c r="A151" s="589"/>
      <c r="B151" s="47"/>
      <c r="C151" s="47"/>
      <c r="K151" s="45"/>
      <c r="L151" s="47"/>
      <c r="M151" s="47"/>
      <c r="N151" s="45"/>
      <c r="O151" s="45"/>
      <c r="P151" s="45"/>
      <c r="Q151" s="45"/>
      <c r="R151" s="47"/>
      <c r="S151" s="45"/>
      <c r="T151" s="45"/>
      <c r="U151" s="590"/>
      <c r="V151" s="45"/>
      <c r="W151" s="45"/>
      <c r="X151" s="45"/>
      <c r="Y151" s="45"/>
      <c r="Z151" s="45"/>
      <c r="AA151" s="45"/>
      <c r="AB151" s="47"/>
      <c r="AC151" s="47"/>
      <c r="AD151" s="47"/>
      <c r="AE151" s="47"/>
    </row>
    <row r="152" s="119" customFormat="true" ht="11.25" hidden="false" customHeight="true" outlineLevel="0" collapsed="false">
      <c r="A152" s="589"/>
      <c r="B152" s="47"/>
      <c r="C152" s="47"/>
      <c r="K152" s="45"/>
      <c r="L152" s="47"/>
      <c r="M152" s="47"/>
      <c r="N152" s="45"/>
      <c r="O152" s="45"/>
      <c r="P152" s="45"/>
      <c r="Q152" s="45"/>
      <c r="R152" s="47"/>
      <c r="S152" s="45"/>
      <c r="T152" s="45"/>
      <c r="U152" s="590"/>
      <c r="V152" s="45"/>
      <c r="W152" s="45"/>
      <c r="X152" s="45"/>
      <c r="Y152" s="45"/>
      <c r="Z152" s="45"/>
      <c r="AA152" s="45"/>
      <c r="AB152" s="47"/>
      <c r="AC152" s="47"/>
      <c r="AD152" s="47"/>
      <c r="AE152" s="47"/>
    </row>
    <row r="153" s="119" customFormat="true" ht="11.25" hidden="false" customHeight="true" outlineLevel="0" collapsed="false">
      <c r="A153" s="589"/>
      <c r="B153" s="47"/>
      <c r="C153" s="47"/>
      <c r="K153" s="45"/>
      <c r="L153" s="47"/>
      <c r="M153" s="47"/>
      <c r="N153" s="45"/>
      <c r="O153" s="45"/>
      <c r="P153" s="45"/>
      <c r="Q153" s="45"/>
      <c r="R153" s="47"/>
      <c r="S153" s="45"/>
      <c r="T153" s="45"/>
      <c r="U153" s="590"/>
      <c r="V153" s="45"/>
      <c r="W153" s="45"/>
      <c r="X153" s="45"/>
      <c r="Y153" s="45"/>
      <c r="Z153" s="45"/>
      <c r="AA153" s="45"/>
      <c r="AB153" s="47"/>
      <c r="AC153" s="47"/>
      <c r="AD153" s="47"/>
      <c r="AE153" s="47"/>
    </row>
    <row r="154" s="119" customFormat="true" ht="11.25" hidden="false" customHeight="true" outlineLevel="0" collapsed="false">
      <c r="A154" s="589"/>
      <c r="B154" s="47"/>
      <c r="C154" s="47"/>
      <c r="K154" s="45"/>
      <c r="L154" s="47"/>
      <c r="M154" s="47"/>
      <c r="N154" s="45"/>
      <c r="O154" s="45"/>
      <c r="P154" s="45"/>
      <c r="Q154" s="45"/>
      <c r="R154" s="47"/>
      <c r="S154" s="45"/>
      <c r="T154" s="45"/>
      <c r="U154" s="590"/>
      <c r="V154" s="45"/>
      <c r="W154" s="45"/>
      <c r="X154" s="45"/>
      <c r="Y154" s="45"/>
      <c r="Z154" s="45"/>
      <c r="AA154" s="45"/>
      <c r="AB154" s="47"/>
      <c r="AC154" s="47"/>
      <c r="AD154" s="47"/>
      <c r="AE154" s="47"/>
    </row>
    <row r="155" s="119" customFormat="true" ht="11.25" hidden="false" customHeight="true" outlineLevel="0" collapsed="false">
      <c r="A155" s="589"/>
      <c r="B155" s="47"/>
      <c r="C155" s="47"/>
      <c r="K155" s="45"/>
      <c r="L155" s="47"/>
      <c r="M155" s="47"/>
      <c r="N155" s="45"/>
      <c r="O155" s="45"/>
      <c r="P155" s="45"/>
      <c r="Q155" s="45"/>
      <c r="R155" s="47"/>
      <c r="S155" s="45"/>
      <c r="T155" s="45"/>
      <c r="U155" s="590"/>
      <c r="V155" s="45"/>
      <c r="W155" s="45"/>
      <c r="X155" s="45"/>
      <c r="Y155" s="45"/>
      <c r="Z155" s="45"/>
      <c r="AA155" s="45"/>
      <c r="AB155" s="47"/>
      <c r="AC155" s="47"/>
      <c r="AD155" s="47"/>
      <c r="AE155" s="47"/>
    </row>
    <row r="156" s="119" customFormat="true" ht="11.25" hidden="false" customHeight="true" outlineLevel="0" collapsed="false">
      <c r="A156" s="589"/>
      <c r="B156" s="47"/>
      <c r="C156" s="47"/>
      <c r="K156" s="45"/>
      <c r="L156" s="47"/>
      <c r="M156" s="47"/>
      <c r="N156" s="45"/>
      <c r="O156" s="45"/>
      <c r="P156" s="45"/>
      <c r="Q156" s="45"/>
      <c r="R156" s="47"/>
      <c r="S156" s="45"/>
      <c r="T156" s="45"/>
      <c r="U156" s="590"/>
      <c r="V156" s="45"/>
      <c r="W156" s="45"/>
      <c r="X156" s="45"/>
      <c r="Y156" s="45"/>
      <c r="Z156" s="45"/>
      <c r="AA156" s="45"/>
      <c r="AB156" s="47"/>
      <c r="AC156" s="47"/>
      <c r="AD156" s="47"/>
      <c r="AE156" s="47"/>
    </row>
    <row r="157" s="119" customFormat="true" ht="11.25" hidden="false" customHeight="true" outlineLevel="0" collapsed="false">
      <c r="A157" s="589"/>
      <c r="B157" s="47"/>
      <c r="C157" s="47"/>
      <c r="K157" s="45"/>
      <c r="L157" s="47"/>
      <c r="M157" s="47"/>
      <c r="N157" s="45"/>
      <c r="O157" s="45"/>
      <c r="P157" s="45"/>
      <c r="Q157" s="45"/>
      <c r="R157" s="47"/>
      <c r="S157" s="45"/>
      <c r="T157" s="45"/>
      <c r="U157" s="590"/>
      <c r="V157" s="45"/>
      <c r="W157" s="45"/>
      <c r="X157" s="45"/>
      <c r="Y157" s="45"/>
      <c r="Z157" s="45"/>
      <c r="AA157" s="45"/>
      <c r="AB157" s="47"/>
      <c r="AC157" s="47"/>
      <c r="AD157" s="47"/>
      <c r="AE157" s="47"/>
    </row>
    <row r="158" s="119" customFormat="true" ht="11.25" hidden="false" customHeight="true" outlineLevel="0" collapsed="false">
      <c r="A158" s="589"/>
      <c r="B158" s="47"/>
      <c r="C158" s="47"/>
      <c r="K158" s="45"/>
      <c r="L158" s="47"/>
      <c r="M158" s="47"/>
      <c r="N158" s="45"/>
      <c r="O158" s="45"/>
      <c r="P158" s="45"/>
      <c r="Q158" s="45"/>
      <c r="R158" s="47"/>
      <c r="S158" s="45"/>
      <c r="T158" s="45"/>
      <c r="U158" s="590"/>
      <c r="V158" s="45"/>
      <c r="W158" s="45"/>
      <c r="X158" s="45"/>
      <c r="Y158" s="45"/>
      <c r="Z158" s="45"/>
      <c r="AA158" s="45"/>
      <c r="AB158" s="47"/>
      <c r="AC158" s="47"/>
      <c r="AD158" s="47"/>
      <c r="AE158" s="47"/>
    </row>
    <row r="159" s="119" customFormat="true" ht="11.25" hidden="false" customHeight="true" outlineLevel="0" collapsed="false">
      <c r="A159" s="589"/>
      <c r="B159" s="47"/>
      <c r="C159" s="47"/>
      <c r="K159" s="45"/>
      <c r="L159" s="47"/>
      <c r="M159" s="47"/>
      <c r="N159" s="45"/>
      <c r="O159" s="45"/>
      <c r="P159" s="45"/>
      <c r="Q159" s="45"/>
      <c r="R159" s="47"/>
      <c r="S159" s="45"/>
      <c r="T159" s="45"/>
      <c r="U159" s="590"/>
      <c r="V159" s="45"/>
      <c r="W159" s="45"/>
      <c r="X159" s="45"/>
      <c r="Y159" s="45"/>
      <c r="Z159" s="45"/>
      <c r="AA159" s="45"/>
      <c r="AB159" s="47"/>
      <c r="AC159" s="47"/>
      <c r="AD159" s="47"/>
      <c r="AE159" s="47"/>
    </row>
    <row r="160" s="119" customFormat="true" ht="11.25" hidden="false" customHeight="true" outlineLevel="0" collapsed="false">
      <c r="A160" s="589"/>
      <c r="B160" s="47"/>
      <c r="C160" s="47"/>
      <c r="K160" s="45"/>
      <c r="L160" s="47"/>
      <c r="M160" s="47"/>
      <c r="N160" s="45"/>
      <c r="O160" s="45"/>
      <c r="P160" s="45"/>
      <c r="Q160" s="45"/>
      <c r="R160" s="47"/>
      <c r="S160" s="45"/>
      <c r="T160" s="45"/>
      <c r="U160" s="590"/>
      <c r="V160" s="45"/>
      <c r="W160" s="45"/>
      <c r="X160" s="45"/>
      <c r="Y160" s="45"/>
      <c r="Z160" s="45"/>
      <c r="AA160" s="45"/>
      <c r="AB160" s="47"/>
      <c r="AC160" s="47"/>
      <c r="AD160" s="47"/>
      <c r="AE160" s="47"/>
    </row>
    <row r="161" s="119" customFormat="true" ht="11.25" hidden="false" customHeight="true" outlineLevel="0" collapsed="false">
      <c r="A161" s="589"/>
      <c r="B161" s="47"/>
      <c r="C161" s="47"/>
      <c r="K161" s="45"/>
      <c r="L161" s="47"/>
      <c r="M161" s="47"/>
      <c r="N161" s="45"/>
      <c r="O161" s="45"/>
      <c r="P161" s="45"/>
      <c r="Q161" s="45"/>
      <c r="R161" s="47"/>
      <c r="S161" s="45"/>
      <c r="T161" s="45"/>
      <c r="U161" s="590"/>
      <c r="V161" s="45"/>
      <c r="W161" s="45"/>
      <c r="X161" s="45"/>
      <c r="Y161" s="45"/>
      <c r="Z161" s="45"/>
      <c r="AA161" s="45"/>
      <c r="AB161" s="47"/>
      <c r="AC161" s="47"/>
      <c r="AD161" s="47"/>
      <c r="AE161" s="47"/>
    </row>
    <row r="162" s="119" customFormat="true" ht="11.25" hidden="false" customHeight="true" outlineLevel="0" collapsed="false">
      <c r="A162" s="589"/>
      <c r="B162" s="47"/>
      <c r="C162" s="47"/>
      <c r="K162" s="45"/>
      <c r="L162" s="47"/>
      <c r="M162" s="47"/>
      <c r="N162" s="45"/>
      <c r="O162" s="45"/>
      <c r="P162" s="45"/>
      <c r="Q162" s="45"/>
      <c r="R162" s="47"/>
      <c r="S162" s="45"/>
      <c r="T162" s="45"/>
      <c r="U162" s="590"/>
      <c r="V162" s="45"/>
      <c r="W162" s="45"/>
      <c r="X162" s="45"/>
      <c r="Y162" s="45"/>
      <c r="Z162" s="45"/>
      <c r="AA162" s="45"/>
      <c r="AB162" s="47"/>
      <c r="AC162" s="47"/>
      <c r="AD162" s="47"/>
      <c r="AE162" s="47"/>
    </row>
    <row r="163" s="119" customFormat="true" ht="11.25" hidden="false" customHeight="true" outlineLevel="0" collapsed="false">
      <c r="A163" s="589"/>
      <c r="B163" s="47"/>
      <c r="C163" s="47"/>
      <c r="K163" s="45"/>
      <c r="L163" s="47"/>
      <c r="M163" s="47"/>
      <c r="N163" s="45"/>
      <c r="O163" s="45"/>
      <c r="P163" s="45"/>
      <c r="Q163" s="45"/>
      <c r="R163" s="47"/>
      <c r="S163" s="45"/>
      <c r="T163" s="45"/>
      <c r="U163" s="590"/>
      <c r="V163" s="45"/>
      <c r="W163" s="45"/>
      <c r="X163" s="45"/>
      <c r="Y163" s="45"/>
      <c r="Z163" s="45"/>
      <c r="AA163" s="45"/>
      <c r="AB163" s="47"/>
      <c r="AC163" s="47"/>
      <c r="AD163" s="47"/>
      <c r="AE163" s="47"/>
    </row>
    <row r="164" s="119" customFormat="true" ht="11.25" hidden="false" customHeight="true" outlineLevel="0" collapsed="false">
      <c r="A164" s="589"/>
      <c r="B164" s="47"/>
      <c r="C164" s="47"/>
      <c r="K164" s="45"/>
      <c r="L164" s="47"/>
      <c r="M164" s="47"/>
      <c r="N164" s="45"/>
      <c r="O164" s="45"/>
      <c r="P164" s="45"/>
      <c r="Q164" s="45"/>
      <c r="R164" s="47"/>
      <c r="S164" s="45"/>
      <c r="T164" s="45"/>
      <c r="U164" s="590"/>
      <c r="V164" s="45"/>
      <c r="W164" s="45"/>
      <c r="X164" s="45"/>
      <c r="Y164" s="45"/>
      <c r="Z164" s="45"/>
      <c r="AA164" s="45"/>
      <c r="AB164" s="47"/>
      <c r="AC164" s="47"/>
      <c r="AD164" s="47"/>
      <c r="AE164" s="47"/>
    </row>
    <row r="165" s="119" customFormat="true" ht="11.25" hidden="false" customHeight="true" outlineLevel="0" collapsed="false">
      <c r="A165" s="589"/>
      <c r="B165" s="47"/>
      <c r="C165" s="47"/>
      <c r="K165" s="45"/>
      <c r="L165" s="47"/>
      <c r="M165" s="47"/>
      <c r="N165" s="45"/>
      <c r="O165" s="45"/>
      <c r="P165" s="45"/>
      <c r="Q165" s="45"/>
      <c r="R165" s="47"/>
      <c r="S165" s="45"/>
      <c r="T165" s="45"/>
      <c r="U165" s="590"/>
      <c r="V165" s="45"/>
      <c r="W165" s="45"/>
      <c r="X165" s="45"/>
      <c r="Y165" s="45"/>
      <c r="Z165" s="45"/>
      <c r="AA165" s="45"/>
      <c r="AB165" s="47"/>
      <c r="AC165" s="47"/>
      <c r="AD165" s="47"/>
      <c r="AE165" s="47"/>
    </row>
    <row r="166" s="119" customFormat="true" ht="11.25" hidden="false" customHeight="true" outlineLevel="0" collapsed="false">
      <c r="A166" s="589"/>
      <c r="B166" s="47"/>
      <c r="C166" s="47"/>
      <c r="K166" s="45"/>
      <c r="L166" s="47"/>
      <c r="M166" s="47"/>
      <c r="N166" s="45"/>
      <c r="O166" s="45"/>
      <c r="P166" s="45"/>
      <c r="Q166" s="45"/>
      <c r="R166" s="47"/>
      <c r="S166" s="45"/>
      <c r="T166" s="45"/>
      <c r="U166" s="590"/>
      <c r="V166" s="45"/>
      <c r="W166" s="45"/>
      <c r="X166" s="45"/>
      <c r="Y166" s="45"/>
      <c r="Z166" s="45"/>
      <c r="AA166" s="45"/>
      <c r="AB166" s="47"/>
      <c r="AC166" s="47"/>
      <c r="AD166" s="47"/>
      <c r="AE166" s="47"/>
    </row>
    <row r="167" s="119" customFormat="true" ht="11.25" hidden="false" customHeight="true" outlineLevel="0" collapsed="false">
      <c r="A167" s="589"/>
      <c r="B167" s="47"/>
      <c r="C167" s="47"/>
      <c r="K167" s="45"/>
      <c r="L167" s="47"/>
      <c r="M167" s="47"/>
      <c r="N167" s="45"/>
      <c r="O167" s="45"/>
      <c r="P167" s="45"/>
      <c r="Q167" s="45"/>
      <c r="R167" s="47"/>
      <c r="S167" s="45"/>
      <c r="T167" s="45"/>
      <c r="U167" s="590"/>
      <c r="V167" s="45"/>
      <c r="W167" s="45"/>
      <c r="X167" s="45"/>
      <c r="Y167" s="45"/>
      <c r="Z167" s="45"/>
      <c r="AA167" s="45"/>
      <c r="AB167" s="47"/>
      <c r="AC167" s="47"/>
      <c r="AD167" s="47"/>
      <c r="AE167" s="47"/>
    </row>
    <row r="168" s="119" customFormat="true" ht="11.25" hidden="false" customHeight="true" outlineLevel="0" collapsed="false">
      <c r="A168" s="589"/>
      <c r="B168" s="47"/>
      <c r="C168" s="47"/>
      <c r="K168" s="45"/>
      <c r="L168" s="47"/>
      <c r="M168" s="47"/>
      <c r="N168" s="45"/>
      <c r="O168" s="45"/>
      <c r="P168" s="45"/>
      <c r="Q168" s="45"/>
      <c r="R168" s="47"/>
      <c r="S168" s="45"/>
      <c r="T168" s="45"/>
      <c r="U168" s="590"/>
      <c r="V168" s="45"/>
      <c r="W168" s="45"/>
      <c r="X168" s="45"/>
      <c r="Y168" s="45"/>
      <c r="Z168" s="45"/>
      <c r="AA168" s="45"/>
      <c r="AB168" s="47"/>
      <c r="AC168" s="47"/>
      <c r="AD168" s="47"/>
      <c r="AE168" s="47"/>
    </row>
    <row r="169" s="119" customFormat="true" ht="11.25" hidden="false" customHeight="true" outlineLevel="0" collapsed="false">
      <c r="A169" s="589"/>
      <c r="B169" s="47"/>
      <c r="C169" s="47"/>
      <c r="K169" s="45"/>
      <c r="L169" s="47"/>
      <c r="M169" s="47"/>
      <c r="N169" s="45"/>
      <c r="O169" s="45"/>
      <c r="P169" s="45"/>
      <c r="Q169" s="45"/>
      <c r="R169" s="47"/>
      <c r="S169" s="45"/>
      <c r="T169" s="45"/>
      <c r="U169" s="590"/>
      <c r="V169" s="45"/>
      <c r="W169" s="45"/>
      <c r="X169" s="45"/>
      <c r="Y169" s="45"/>
      <c r="Z169" s="45"/>
      <c r="AA169" s="45"/>
      <c r="AB169" s="47"/>
      <c r="AC169" s="47"/>
      <c r="AD169" s="47"/>
      <c r="AE169" s="47"/>
    </row>
    <row r="170" s="119" customFormat="true" ht="11.25" hidden="false" customHeight="true" outlineLevel="0" collapsed="false">
      <c r="A170" s="589"/>
      <c r="B170" s="47"/>
      <c r="C170" s="47"/>
      <c r="K170" s="45"/>
      <c r="L170" s="47"/>
      <c r="M170" s="47"/>
      <c r="N170" s="45"/>
      <c r="O170" s="45"/>
      <c r="P170" s="45"/>
      <c r="Q170" s="45"/>
      <c r="R170" s="47"/>
      <c r="S170" s="45"/>
      <c r="T170" s="45"/>
      <c r="U170" s="590"/>
      <c r="V170" s="45"/>
      <c r="W170" s="45"/>
      <c r="X170" s="45"/>
      <c r="Y170" s="45"/>
      <c r="Z170" s="45"/>
      <c r="AA170" s="45"/>
      <c r="AB170" s="47"/>
      <c r="AC170" s="47"/>
      <c r="AD170" s="47"/>
      <c r="AE170" s="47"/>
    </row>
    <row r="171" s="119" customFormat="true" ht="11.25" hidden="false" customHeight="true" outlineLevel="0" collapsed="false">
      <c r="A171" s="589"/>
      <c r="B171" s="47"/>
      <c r="C171" s="47"/>
      <c r="K171" s="45"/>
      <c r="L171" s="47"/>
      <c r="M171" s="47"/>
      <c r="N171" s="45"/>
      <c r="O171" s="45"/>
      <c r="P171" s="45"/>
      <c r="Q171" s="45"/>
      <c r="R171" s="47"/>
      <c r="S171" s="45"/>
      <c r="T171" s="45"/>
      <c r="U171" s="590"/>
      <c r="V171" s="45"/>
      <c r="W171" s="45"/>
      <c r="X171" s="45"/>
      <c r="Y171" s="45"/>
      <c r="Z171" s="45"/>
      <c r="AA171" s="45"/>
      <c r="AB171" s="47"/>
      <c r="AC171" s="47"/>
      <c r="AD171" s="47"/>
      <c r="AE171" s="47"/>
    </row>
    <row r="172" s="119" customFormat="true" ht="11.25" hidden="false" customHeight="true" outlineLevel="0" collapsed="false">
      <c r="A172" s="589"/>
      <c r="B172" s="47"/>
      <c r="C172" s="47"/>
      <c r="K172" s="45"/>
      <c r="L172" s="47"/>
      <c r="M172" s="47"/>
      <c r="N172" s="45"/>
      <c r="O172" s="45"/>
      <c r="P172" s="45"/>
      <c r="Q172" s="45"/>
      <c r="R172" s="47"/>
      <c r="S172" s="45"/>
      <c r="T172" s="45"/>
      <c r="U172" s="590"/>
      <c r="V172" s="45"/>
      <c r="W172" s="45"/>
      <c r="X172" s="45"/>
      <c r="Y172" s="45"/>
      <c r="Z172" s="45"/>
      <c r="AA172" s="45"/>
      <c r="AB172" s="47"/>
      <c r="AC172" s="47"/>
      <c r="AD172" s="47"/>
      <c r="AE172" s="47"/>
    </row>
    <row r="173" s="119" customFormat="true" ht="11.25" hidden="false" customHeight="true" outlineLevel="0" collapsed="false">
      <c r="A173" s="589"/>
      <c r="B173" s="47"/>
      <c r="C173" s="47"/>
      <c r="K173" s="45"/>
      <c r="L173" s="47"/>
      <c r="M173" s="47"/>
      <c r="N173" s="45"/>
      <c r="O173" s="45"/>
      <c r="P173" s="45"/>
      <c r="Q173" s="45"/>
      <c r="R173" s="47"/>
      <c r="S173" s="45"/>
      <c r="T173" s="45"/>
      <c r="U173" s="590"/>
      <c r="V173" s="45"/>
      <c r="W173" s="45"/>
      <c r="X173" s="45"/>
      <c r="Y173" s="45"/>
      <c r="Z173" s="45"/>
      <c r="AA173" s="45"/>
      <c r="AB173" s="47"/>
      <c r="AC173" s="47"/>
      <c r="AD173" s="47"/>
      <c r="AE173" s="47"/>
    </row>
    <row r="174" s="119" customFormat="true" ht="11.25" hidden="false" customHeight="true" outlineLevel="0" collapsed="false">
      <c r="A174" s="589"/>
      <c r="B174" s="47"/>
      <c r="C174" s="47"/>
      <c r="K174" s="45"/>
      <c r="L174" s="47"/>
      <c r="M174" s="47"/>
      <c r="N174" s="45"/>
      <c r="O174" s="45"/>
      <c r="P174" s="45"/>
      <c r="Q174" s="45"/>
      <c r="R174" s="47"/>
      <c r="S174" s="45"/>
      <c r="T174" s="45"/>
      <c r="U174" s="590"/>
      <c r="V174" s="45"/>
      <c r="W174" s="45"/>
      <c r="X174" s="45"/>
      <c r="Y174" s="45"/>
      <c r="Z174" s="45"/>
      <c r="AA174" s="45"/>
      <c r="AB174" s="47"/>
      <c r="AC174" s="47"/>
      <c r="AD174" s="47"/>
      <c r="AE174" s="47"/>
    </row>
    <row r="175" s="119" customFormat="true" ht="11.25" hidden="false" customHeight="true" outlineLevel="0" collapsed="false">
      <c r="A175" s="589"/>
      <c r="B175" s="47"/>
      <c r="C175" s="47"/>
      <c r="K175" s="45"/>
      <c r="L175" s="47"/>
      <c r="M175" s="47"/>
      <c r="N175" s="45"/>
      <c r="O175" s="45"/>
      <c r="P175" s="45"/>
      <c r="Q175" s="45"/>
      <c r="R175" s="47"/>
      <c r="S175" s="45"/>
      <c r="T175" s="45"/>
      <c r="U175" s="590"/>
      <c r="V175" s="45"/>
      <c r="W175" s="45"/>
      <c r="X175" s="45"/>
      <c r="Y175" s="45"/>
      <c r="Z175" s="45"/>
      <c r="AA175" s="45"/>
      <c r="AB175" s="47"/>
      <c r="AC175" s="47"/>
      <c r="AD175" s="47"/>
      <c r="AE175" s="47"/>
    </row>
    <row r="176" s="119" customFormat="true" ht="11.25" hidden="false" customHeight="true" outlineLevel="0" collapsed="false">
      <c r="A176" s="589"/>
      <c r="B176" s="47"/>
      <c r="C176" s="47"/>
      <c r="K176" s="45"/>
      <c r="L176" s="47"/>
      <c r="M176" s="47"/>
      <c r="N176" s="45"/>
      <c r="O176" s="45"/>
      <c r="P176" s="45"/>
      <c r="Q176" s="45"/>
      <c r="R176" s="47"/>
      <c r="S176" s="45"/>
      <c r="T176" s="45"/>
      <c r="U176" s="590"/>
      <c r="V176" s="45"/>
      <c r="W176" s="45"/>
      <c r="X176" s="45"/>
      <c r="Y176" s="45"/>
      <c r="Z176" s="45"/>
      <c r="AA176" s="45"/>
      <c r="AB176" s="47"/>
      <c r="AC176" s="47"/>
      <c r="AD176" s="47"/>
      <c r="AE176" s="47"/>
    </row>
    <row r="177" s="119" customFormat="true" ht="11.25" hidden="false" customHeight="true" outlineLevel="0" collapsed="false">
      <c r="A177" s="589"/>
      <c r="B177" s="47"/>
      <c r="C177" s="47"/>
      <c r="K177" s="45"/>
      <c r="L177" s="47"/>
      <c r="M177" s="47"/>
      <c r="N177" s="45"/>
      <c r="O177" s="45"/>
      <c r="P177" s="45"/>
      <c r="Q177" s="45"/>
      <c r="R177" s="47"/>
      <c r="S177" s="45"/>
      <c r="T177" s="45"/>
      <c r="U177" s="590"/>
      <c r="V177" s="45"/>
      <c r="W177" s="45"/>
      <c r="X177" s="45"/>
      <c r="Y177" s="45"/>
      <c r="Z177" s="45"/>
      <c r="AA177" s="45"/>
      <c r="AB177" s="47"/>
      <c r="AC177" s="47"/>
      <c r="AD177" s="47"/>
      <c r="AE177" s="47"/>
    </row>
    <row r="178" s="119" customFormat="true" ht="11.25" hidden="false" customHeight="true" outlineLevel="0" collapsed="false">
      <c r="A178" s="589"/>
      <c r="B178" s="47"/>
      <c r="C178" s="47"/>
      <c r="K178" s="45"/>
      <c r="L178" s="47"/>
      <c r="M178" s="47"/>
      <c r="N178" s="45"/>
      <c r="O178" s="45"/>
      <c r="P178" s="45"/>
      <c r="Q178" s="45"/>
      <c r="R178" s="47"/>
      <c r="S178" s="45"/>
      <c r="T178" s="45"/>
      <c r="U178" s="590"/>
      <c r="V178" s="45"/>
      <c r="W178" s="45"/>
      <c r="X178" s="45"/>
      <c r="Y178" s="45"/>
      <c r="Z178" s="45"/>
      <c r="AA178" s="45"/>
      <c r="AB178" s="47"/>
      <c r="AC178" s="47"/>
      <c r="AD178" s="47"/>
      <c r="AE178" s="47"/>
    </row>
    <row r="179" s="119" customFormat="true" ht="11.25" hidden="false" customHeight="true" outlineLevel="0" collapsed="false">
      <c r="A179" s="589"/>
      <c r="B179" s="47"/>
      <c r="C179" s="47"/>
      <c r="K179" s="45"/>
      <c r="L179" s="47"/>
      <c r="M179" s="47"/>
      <c r="N179" s="45"/>
      <c r="O179" s="45"/>
      <c r="P179" s="45"/>
      <c r="Q179" s="45"/>
      <c r="R179" s="47"/>
      <c r="S179" s="45"/>
      <c r="T179" s="45"/>
      <c r="U179" s="590"/>
      <c r="V179" s="45"/>
      <c r="W179" s="45"/>
      <c r="X179" s="45"/>
      <c r="Y179" s="45"/>
      <c r="Z179" s="45"/>
      <c r="AA179" s="45"/>
      <c r="AB179" s="47"/>
      <c r="AC179" s="47"/>
      <c r="AD179" s="47"/>
      <c r="AE179" s="47"/>
    </row>
    <row r="180" s="119" customFormat="true" ht="11.25" hidden="false" customHeight="true" outlineLevel="0" collapsed="false">
      <c r="A180" s="589"/>
      <c r="B180" s="47"/>
      <c r="C180" s="47"/>
      <c r="K180" s="45"/>
      <c r="L180" s="47"/>
      <c r="M180" s="47"/>
      <c r="N180" s="45"/>
      <c r="O180" s="45"/>
      <c r="P180" s="45"/>
      <c r="Q180" s="45"/>
      <c r="R180" s="47"/>
      <c r="S180" s="45"/>
      <c r="T180" s="45"/>
      <c r="U180" s="590"/>
      <c r="V180" s="45"/>
      <c r="W180" s="45"/>
      <c r="X180" s="45"/>
      <c r="Y180" s="45"/>
      <c r="Z180" s="45"/>
      <c r="AA180" s="45"/>
      <c r="AB180" s="47"/>
      <c r="AC180" s="47"/>
      <c r="AD180" s="47"/>
      <c r="AE180" s="47"/>
    </row>
    <row r="181" s="119" customFormat="true" ht="11.25" hidden="false" customHeight="true" outlineLevel="0" collapsed="false">
      <c r="A181" s="589"/>
      <c r="B181" s="47"/>
      <c r="C181" s="47"/>
      <c r="K181" s="45"/>
      <c r="L181" s="47"/>
      <c r="M181" s="47"/>
      <c r="N181" s="45"/>
      <c r="O181" s="45"/>
      <c r="P181" s="45"/>
      <c r="Q181" s="45"/>
      <c r="R181" s="47"/>
      <c r="S181" s="45"/>
      <c r="T181" s="45"/>
      <c r="U181" s="590"/>
      <c r="V181" s="45"/>
      <c r="W181" s="45"/>
      <c r="X181" s="45"/>
      <c r="Y181" s="45"/>
      <c r="Z181" s="45"/>
      <c r="AA181" s="45"/>
      <c r="AB181" s="47"/>
      <c r="AC181" s="47"/>
      <c r="AD181" s="47"/>
      <c r="AE181" s="47"/>
    </row>
    <row r="182" s="119" customFormat="true" ht="11.25" hidden="false" customHeight="true" outlineLevel="0" collapsed="false">
      <c r="A182" s="589"/>
      <c r="B182" s="47"/>
      <c r="C182" s="47"/>
      <c r="K182" s="45"/>
      <c r="L182" s="47"/>
      <c r="M182" s="47"/>
      <c r="N182" s="45"/>
      <c r="O182" s="45"/>
      <c r="P182" s="45"/>
      <c r="Q182" s="45"/>
      <c r="R182" s="47"/>
      <c r="S182" s="45"/>
      <c r="T182" s="45"/>
      <c r="U182" s="590"/>
      <c r="V182" s="45"/>
      <c r="W182" s="45"/>
      <c r="X182" s="45"/>
      <c r="Y182" s="45"/>
      <c r="Z182" s="45"/>
      <c r="AA182" s="45"/>
      <c r="AB182" s="47"/>
      <c r="AC182" s="47"/>
      <c r="AD182" s="47"/>
      <c r="AE182" s="47"/>
    </row>
    <row r="183" s="119" customFormat="true" ht="11.25" hidden="false" customHeight="true" outlineLevel="0" collapsed="false">
      <c r="A183" s="589"/>
      <c r="B183" s="47"/>
      <c r="C183" s="47"/>
      <c r="K183" s="45"/>
      <c r="L183" s="47"/>
      <c r="M183" s="47"/>
      <c r="N183" s="45"/>
      <c r="O183" s="45"/>
      <c r="P183" s="45"/>
      <c r="Q183" s="45"/>
      <c r="R183" s="47"/>
      <c r="S183" s="45"/>
      <c r="T183" s="45"/>
      <c r="U183" s="590"/>
      <c r="V183" s="45"/>
      <c r="W183" s="45"/>
      <c r="X183" s="45"/>
      <c r="Y183" s="45"/>
      <c r="Z183" s="45"/>
      <c r="AA183" s="45"/>
      <c r="AB183" s="47"/>
      <c r="AC183" s="47"/>
      <c r="AD183" s="47"/>
      <c r="AE183" s="47"/>
    </row>
    <row r="184" s="119" customFormat="true" ht="11.25" hidden="false" customHeight="true" outlineLevel="0" collapsed="false">
      <c r="A184" s="589"/>
      <c r="B184" s="47"/>
      <c r="C184" s="47"/>
      <c r="K184" s="45"/>
      <c r="L184" s="47"/>
      <c r="M184" s="47"/>
      <c r="N184" s="45"/>
      <c r="O184" s="45"/>
      <c r="P184" s="45"/>
      <c r="Q184" s="45"/>
      <c r="R184" s="47"/>
      <c r="S184" s="45"/>
      <c r="T184" s="45"/>
      <c r="U184" s="590"/>
      <c r="V184" s="45"/>
      <c r="W184" s="45"/>
      <c r="X184" s="45"/>
      <c r="Y184" s="45"/>
      <c r="Z184" s="45"/>
      <c r="AA184" s="45"/>
      <c r="AB184" s="47"/>
      <c r="AC184" s="47"/>
      <c r="AD184" s="47"/>
      <c r="AE184" s="47"/>
    </row>
    <row r="185" s="119" customFormat="true" ht="11.25" hidden="false" customHeight="true" outlineLevel="0" collapsed="false">
      <c r="A185" s="589"/>
      <c r="B185" s="47"/>
      <c r="C185" s="47"/>
      <c r="K185" s="45"/>
      <c r="L185" s="47"/>
      <c r="M185" s="47"/>
      <c r="N185" s="45"/>
      <c r="O185" s="45"/>
      <c r="P185" s="45"/>
      <c r="Q185" s="45"/>
      <c r="R185" s="47"/>
      <c r="S185" s="45"/>
      <c r="T185" s="45"/>
      <c r="U185" s="590"/>
      <c r="V185" s="45"/>
      <c r="W185" s="45"/>
      <c r="X185" s="45"/>
      <c r="Y185" s="45"/>
      <c r="Z185" s="45"/>
      <c r="AA185" s="45"/>
      <c r="AB185" s="47"/>
      <c r="AC185" s="47"/>
      <c r="AD185" s="47"/>
      <c r="AE185" s="47"/>
    </row>
    <row r="186" s="119" customFormat="true" ht="11.25" hidden="false" customHeight="true" outlineLevel="0" collapsed="false">
      <c r="A186" s="589"/>
      <c r="B186" s="47"/>
      <c r="C186" s="47"/>
      <c r="K186" s="45"/>
      <c r="L186" s="47"/>
      <c r="M186" s="47"/>
      <c r="N186" s="45"/>
      <c r="O186" s="45"/>
      <c r="P186" s="45"/>
      <c r="Q186" s="45"/>
      <c r="R186" s="47"/>
      <c r="S186" s="45"/>
      <c r="T186" s="45"/>
      <c r="U186" s="590"/>
      <c r="V186" s="45"/>
      <c r="W186" s="45"/>
      <c r="X186" s="45"/>
      <c r="Y186" s="45"/>
      <c r="Z186" s="45"/>
      <c r="AA186" s="45"/>
      <c r="AB186" s="47"/>
      <c r="AC186" s="47"/>
      <c r="AD186" s="47"/>
      <c r="AE186" s="47"/>
    </row>
    <row r="187" s="119" customFormat="true" ht="11.25" hidden="false" customHeight="true" outlineLevel="0" collapsed="false">
      <c r="A187" s="589"/>
      <c r="B187" s="47"/>
      <c r="C187" s="47"/>
      <c r="K187" s="45"/>
      <c r="L187" s="47"/>
      <c r="M187" s="47"/>
      <c r="N187" s="45"/>
      <c r="O187" s="45"/>
      <c r="P187" s="45"/>
      <c r="Q187" s="45"/>
      <c r="R187" s="47"/>
      <c r="S187" s="45"/>
      <c r="T187" s="45"/>
      <c r="U187" s="590"/>
      <c r="V187" s="45"/>
      <c r="W187" s="45"/>
      <c r="X187" s="45"/>
      <c r="Y187" s="45"/>
      <c r="Z187" s="45"/>
      <c r="AA187" s="45"/>
      <c r="AB187" s="47"/>
      <c r="AC187" s="47"/>
      <c r="AD187" s="47"/>
      <c r="AE187" s="47"/>
    </row>
    <row r="188" s="119" customFormat="true" ht="11.25" hidden="false" customHeight="true" outlineLevel="0" collapsed="false">
      <c r="A188" s="589"/>
      <c r="B188" s="47"/>
      <c r="C188" s="47"/>
      <c r="K188" s="45"/>
      <c r="L188" s="47"/>
      <c r="M188" s="47"/>
      <c r="N188" s="45"/>
      <c r="O188" s="45"/>
      <c r="P188" s="45"/>
      <c r="Q188" s="45"/>
      <c r="R188" s="47"/>
      <c r="S188" s="45"/>
      <c r="T188" s="45"/>
      <c r="U188" s="590"/>
      <c r="V188" s="45"/>
      <c r="W188" s="45"/>
      <c r="X188" s="45"/>
      <c r="Y188" s="45"/>
      <c r="Z188" s="45"/>
      <c r="AA188" s="45"/>
      <c r="AB188" s="47"/>
      <c r="AC188" s="47"/>
      <c r="AD188" s="47"/>
      <c r="AE188" s="47"/>
    </row>
    <row r="189" s="119" customFormat="true" ht="11.25" hidden="false" customHeight="true" outlineLevel="0" collapsed="false">
      <c r="A189" s="589"/>
      <c r="B189" s="47"/>
      <c r="C189" s="47"/>
      <c r="K189" s="45"/>
      <c r="L189" s="47"/>
      <c r="M189" s="47"/>
      <c r="N189" s="45"/>
      <c r="O189" s="45"/>
      <c r="P189" s="45"/>
      <c r="Q189" s="45"/>
      <c r="R189" s="47"/>
      <c r="S189" s="45"/>
      <c r="T189" s="45"/>
      <c r="U189" s="590"/>
      <c r="V189" s="45"/>
      <c r="W189" s="45"/>
      <c r="X189" s="45"/>
      <c r="Y189" s="45"/>
      <c r="Z189" s="45"/>
      <c r="AA189" s="45"/>
      <c r="AB189" s="47"/>
      <c r="AC189" s="47"/>
      <c r="AD189" s="47"/>
      <c r="AE189" s="47"/>
    </row>
    <row r="190" s="119" customFormat="true" ht="11.25" hidden="false" customHeight="true" outlineLevel="0" collapsed="false">
      <c r="A190" s="589"/>
      <c r="B190" s="47"/>
      <c r="C190" s="47"/>
      <c r="K190" s="45"/>
      <c r="L190" s="47"/>
      <c r="M190" s="47"/>
      <c r="N190" s="45"/>
      <c r="O190" s="45"/>
      <c r="P190" s="45"/>
      <c r="Q190" s="45"/>
      <c r="R190" s="47"/>
      <c r="S190" s="45"/>
      <c r="T190" s="45"/>
      <c r="U190" s="590"/>
      <c r="V190" s="45"/>
      <c r="W190" s="45"/>
      <c r="X190" s="45"/>
      <c r="Y190" s="45"/>
      <c r="Z190" s="45"/>
      <c r="AA190" s="45"/>
      <c r="AB190" s="47"/>
      <c r="AC190" s="47"/>
      <c r="AD190" s="47"/>
      <c r="AE190" s="47"/>
    </row>
    <row r="191" s="119" customFormat="true" ht="11.25" hidden="false" customHeight="true" outlineLevel="0" collapsed="false">
      <c r="A191" s="589"/>
      <c r="B191" s="47"/>
      <c r="C191" s="47"/>
      <c r="K191" s="45"/>
      <c r="L191" s="47"/>
      <c r="M191" s="47"/>
      <c r="N191" s="45"/>
      <c r="O191" s="45"/>
      <c r="P191" s="45"/>
      <c r="Q191" s="45"/>
      <c r="R191" s="47"/>
      <c r="S191" s="45"/>
      <c r="T191" s="45"/>
      <c r="U191" s="590"/>
      <c r="V191" s="45"/>
      <c r="W191" s="45"/>
      <c r="X191" s="45"/>
      <c r="Y191" s="45"/>
      <c r="Z191" s="45"/>
      <c r="AA191" s="45"/>
      <c r="AB191" s="47"/>
      <c r="AC191" s="47"/>
      <c r="AD191" s="47"/>
      <c r="AE191" s="47"/>
    </row>
    <row r="192" s="119" customFormat="true" ht="11.25" hidden="false" customHeight="true" outlineLevel="0" collapsed="false">
      <c r="A192" s="589"/>
      <c r="B192" s="47"/>
      <c r="C192" s="47"/>
      <c r="K192" s="45"/>
      <c r="L192" s="47"/>
      <c r="M192" s="47"/>
      <c r="N192" s="45"/>
      <c r="O192" s="45"/>
      <c r="P192" s="45"/>
      <c r="Q192" s="45"/>
      <c r="R192" s="47"/>
      <c r="S192" s="45"/>
      <c r="T192" s="45"/>
      <c r="U192" s="590"/>
      <c r="V192" s="45"/>
      <c r="W192" s="45"/>
      <c r="X192" s="45"/>
      <c r="Y192" s="45"/>
      <c r="Z192" s="45"/>
      <c r="AA192" s="45"/>
      <c r="AB192" s="47"/>
      <c r="AC192" s="47"/>
      <c r="AD192" s="47"/>
      <c r="AE192" s="47"/>
    </row>
    <row r="193" s="119" customFormat="true" ht="11.25" hidden="false" customHeight="true" outlineLevel="0" collapsed="false">
      <c r="A193" s="589"/>
      <c r="B193" s="47"/>
      <c r="C193" s="47"/>
      <c r="K193" s="45"/>
      <c r="L193" s="47"/>
      <c r="M193" s="47"/>
      <c r="N193" s="45"/>
      <c r="O193" s="45"/>
      <c r="P193" s="45"/>
      <c r="Q193" s="45"/>
      <c r="R193" s="47"/>
      <c r="S193" s="45"/>
      <c r="T193" s="45"/>
      <c r="U193" s="590"/>
      <c r="V193" s="45"/>
      <c r="W193" s="45"/>
      <c r="X193" s="45"/>
      <c r="Y193" s="45"/>
      <c r="Z193" s="45"/>
      <c r="AA193" s="45"/>
      <c r="AB193" s="47"/>
      <c r="AC193" s="47"/>
      <c r="AD193" s="47"/>
      <c r="AE193" s="47"/>
    </row>
    <row r="194" s="119" customFormat="true" ht="11.25" hidden="false" customHeight="true" outlineLevel="0" collapsed="false">
      <c r="A194" s="589"/>
      <c r="B194" s="47"/>
      <c r="C194" s="47"/>
      <c r="K194" s="45"/>
      <c r="L194" s="47"/>
      <c r="M194" s="47"/>
      <c r="N194" s="45"/>
      <c r="O194" s="45"/>
      <c r="P194" s="45"/>
      <c r="Q194" s="45"/>
      <c r="R194" s="47"/>
      <c r="S194" s="45"/>
      <c r="T194" s="45"/>
      <c r="U194" s="590"/>
      <c r="V194" s="45"/>
      <c r="W194" s="45"/>
      <c r="X194" s="45"/>
      <c r="Y194" s="45"/>
      <c r="Z194" s="45"/>
      <c r="AA194" s="45"/>
      <c r="AB194" s="47"/>
      <c r="AC194" s="47"/>
      <c r="AD194" s="47"/>
      <c r="AE194" s="47"/>
    </row>
    <row r="195" s="119" customFormat="true" ht="11.25" hidden="false" customHeight="true" outlineLevel="0" collapsed="false">
      <c r="A195" s="589"/>
      <c r="B195" s="47"/>
      <c r="C195" s="47"/>
      <c r="K195" s="45"/>
      <c r="L195" s="47"/>
      <c r="M195" s="47"/>
      <c r="N195" s="45"/>
      <c r="O195" s="45"/>
      <c r="P195" s="45"/>
      <c r="Q195" s="45"/>
      <c r="R195" s="47"/>
      <c r="S195" s="45"/>
      <c r="T195" s="45"/>
      <c r="U195" s="590"/>
      <c r="V195" s="45"/>
      <c r="W195" s="45"/>
      <c r="X195" s="45"/>
      <c r="Y195" s="45"/>
      <c r="Z195" s="45"/>
      <c r="AA195" s="45"/>
      <c r="AB195" s="47"/>
      <c r="AC195" s="47"/>
      <c r="AD195" s="47"/>
      <c r="AE195" s="47"/>
    </row>
    <row r="199" customFormat="false" ht="11.25" hidden="false" customHeight="true" outlineLevel="0" collapsed="false">
      <c r="A199" s="656"/>
      <c r="B199" s="42"/>
      <c r="K199" s="42"/>
      <c r="N199" s="42"/>
      <c r="O199" s="42"/>
      <c r="P199" s="42"/>
      <c r="Q199" s="42"/>
      <c r="S199" s="42"/>
      <c r="T199" s="42"/>
      <c r="U199" s="42"/>
      <c r="V199" s="42"/>
      <c r="W199" s="42"/>
      <c r="X199" s="42"/>
      <c r="Y199" s="42"/>
      <c r="Z199" s="42"/>
      <c r="AA199" s="42"/>
      <c r="AB199" s="42"/>
      <c r="AC199" s="42"/>
      <c r="AD199" s="42"/>
      <c r="AE199" s="42"/>
    </row>
    <row r="200" customFormat="false" ht="11.25" hidden="false" customHeight="true" outlineLevel="0" collapsed="false">
      <c r="A200" s="656"/>
      <c r="B200" s="42"/>
      <c r="K200" s="42"/>
      <c r="N200" s="42"/>
      <c r="O200" s="42"/>
      <c r="P200" s="42"/>
      <c r="Q200" s="42"/>
      <c r="S200" s="42"/>
      <c r="T200" s="42"/>
      <c r="U200" s="42"/>
      <c r="V200" s="42"/>
      <c r="W200" s="42"/>
      <c r="X200" s="42"/>
      <c r="Y200" s="42"/>
      <c r="Z200" s="42"/>
      <c r="AA200" s="42"/>
      <c r="AB200" s="42"/>
      <c r="AC200" s="42"/>
      <c r="AD200" s="42"/>
      <c r="AE200" s="42"/>
    </row>
    <row r="201" customFormat="false" ht="11.25" hidden="false" customHeight="true" outlineLevel="0" collapsed="false">
      <c r="A201" s="656"/>
      <c r="B201" s="42"/>
      <c r="K201" s="42"/>
      <c r="N201" s="42"/>
      <c r="O201" s="42"/>
      <c r="P201" s="42"/>
      <c r="Q201" s="42"/>
      <c r="S201" s="42"/>
      <c r="T201" s="42"/>
      <c r="U201" s="42"/>
      <c r="V201" s="42"/>
      <c r="W201" s="42"/>
      <c r="X201" s="42"/>
      <c r="Y201" s="42"/>
      <c r="Z201" s="42"/>
      <c r="AA201" s="42"/>
      <c r="AB201" s="42"/>
      <c r="AC201" s="42"/>
      <c r="AD201" s="42"/>
      <c r="AE201" s="42"/>
    </row>
    <row r="202" customFormat="false" ht="11.25" hidden="false" customHeight="true" outlineLevel="0" collapsed="false">
      <c r="A202" s="656"/>
      <c r="B202" s="42"/>
      <c r="K202" s="42"/>
      <c r="N202" s="42"/>
      <c r="O202" s="42"/>
      <c r="P202" s="42"/>
      <c r="Q202" s="42"/>
      <c r="S202" s="42"/>
      <c r="T202" s="42"/>
      <c r="U202" s="42"/>
      <c r="V202" s="42"/>
      <c r="W202" s="42"/>
      <c r="X202" s="42"/>
      <c r="Y202" s="42"/>
      <c r="Z202" s="42"/>
      <c r="AA202" s="42"/>
      <c r="AB202" s="42"/>
      <c r="AC202" s="42"/>
      <c r="AD202" s="42"/>
      <c r="AE202" s="42"/>
    </row>
    <row r="203" customFormat="false" ht="11.25" hidden="false" customHeight="true" outlineLevel="0" collapsed="false">
      <c r="A203" s="656"/>
      <c r="B203" s="42"/>
      <c r="K203" s="42"/>
      <c r="N203" s="42"/>
      <c r="O203" s="42"/>
      <c r="P203" s="42"/>
      <c r="Q203" s="42"/>
      <c r="S203" s="42"/>
      <c r="T203" s="42"/>
      <c r="U203" s="42"/>
      <c r="V203" s="42"/>
      <c r="W203" s="42"/>
      <c r="X203" s="42"/>
      <c r="Y203" s="42"/>
      <c r="Z203" s="42"/>
      <c r="AA203" s="42"/>
      <c r="AB203" s="42"/>
      <c r="AC203" s="42"/>
      <c r="AD203" s="42"/>
      <c r="AE203" s="42"/>
    </row>
    <row r="204" customFormat="false" ht="11.25" hidden="false" customHeight="true" outlineLevel="0" collapsed="false">
      <c r="A204" s="656"/>
      <c r="B204" s="42"/>
      <c r="K204" s="42"/>
      <c r="N204" s="42"/>
      <c r="O204" s="42"/>
      <c r="P204" s="42"/>
      <c r="Q204" s="42"/>
      <c r="S204" s="42"/>
      <c r="T204" s="42"/>
      <c r="U204" s="42"/>
      <c r="V204" s="42"/>
      <c r="W204" s="42"/>
      <c r="X204" s="42"/>
      <c r="Y204" s="42"/>
      <c r="Z204" s="42"/>
      <c r="AA204" s="42"/>
      <c r="AB204" s="42"/>
      <c r="AC204" s="42"/>
      <c r="AD204" s="42"/>
      <c r="AE204" s="42"/>
    </row>
    <row r="205" customFormat="false" ht="11.25" hidden="false" customHeight="true" outlineLevel="0" collapsed="false">
      <c r="A205" s="656"/>
      <c r="B205" s="42"/>
      <c r="K205" s="42"/>
      <c r="N205" s="42"/>
      <c r="O205" s="42"/>
      <c r="P205" s="42"/>
      <c r="Q205" s="42"/>
      <c r="S205" s="42"/>
      <c r="T205" s="42"/>
      <c r="U205" s="42"/>
      <c r="V205" s="42"/>
      <c r="W205" s="42"/>
      <c r="X205" s="42"/>
      <c r="Y205" s="42"/>
      <c r="Z205" s="42"/>
      <c r="AA205" s="42"/>
      <c r="AB205" s="42"/>
      <c r="AC205" s="42"/>
      <c r="AD205" s="42"/>
      <c r="AE205" s="42"/>
    </row>
    <row r="206" customFormat="false" ht="11.25" hidden="false" customHeight="true" outlineLevel="0" collapsed="false">
      <c r="A206" s="656"/>
      <c r="B206" s="42"/>
      <c r="K206" s="42"/>
      <c r="N206" s="42"/>
      <c r="O206" s="42"/>
      <c r="P206" s="42"/>
      <c r="Q206" s="42"/>
      <c r="S206" s="42"/>
      <c r="T206" s="42"/>
      <c r="U206" s="42"/>
      <c r="V206" s="42"/>
      <c r="W206" s="42"/>
      <c r="X206" s="42"/>
      <c r="Y206" s="42"/>
      <c r="Z206" s="42"/>
      <c r="AA206" s="42"/>
      <c r="AB206" s="42"/>
      <c r="AC206" s="42"/>
      <c r="AD206" s="42"/>
      <c r="AE206" s="42"/>
    </row>
    <row r="207" customFormat="false" ht="11.25" hidden="false" customHeight="true" outlineLevel="0" collapsed="false">
      <c r="A207" s="656"/>
      <c r="B207" s="42"/>
      <c r="K207" s="42"/>
      <c r="N207" s="42"/>
      <c r="O207" s="42"/>
      <c r="P207" s="42"/>
      <c r="Q207" s="42"/>
      <c r="S207" s="42"/>
      <c r="T207" s="42"/>
      <c r="U207" s="42"/>
      <c r="V207" s="42"/>
      <c r="W207" s="42"/>
      <c r="X207" s="42"/>
      <c r="Y207" s="42"/>
      <c r="Z207" s="42"/>
      <c r="AA207" s="42"/>
      <c r="AB207" s="42"/>
      <c r="AC207" s="42"/>
      <c r="AD207" s="42"/>
      <c r="AE207" s="42"/>
    </row>
    <row r="208" customFormat="false" ht="11.25" hidden="false" customHeight="true" outlineLevel="0" collapsed="false">
      <c r="A208" s="656"/>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56"/>
      <c r="B209" s="42"/>
      <c r="K209" s="42"/>
      <c r="N209" s="42"/>
      <c r="O209" s="42"/>
      <c r="P209" s="42"/>
      <c r="Q209" s="42"/>
      <c r="S209" s="42"/>
      <c r="T209" s="42"/>
      <c r="U209" s="42"/>
      <c r="V209" s="42"/>
      <c r="W209" s="42"/>
      <c r="X209" s="42"/>
      <c r="Y209" s="42"/>
      <c r="Z209" s="42"/>
      <c r="AA209" s="42"/>
      <c r="AB209" s="42"/>
      <c r="AC209" s="42"/>
      <c r="AD209" s="42"/>
      <c r="AE209" s="42"/>
    </row>
  </sheetData>
  <mergeCells count="9">
    <mergeCell ref="E6:I6"/>
    <mergeCell ref="E7:I7"/>
    <mergeCell ref="F10:G10"/>
    <mergeCell ref="J10:J14"/>
    <mergeCell ref="F11:G11"/>
    <mergeCell ref="F12:G12"/>
    <mergeCell ref="E13:G13"/>
    <mergeCell ref="F39:J39"/>
    <mergeCell ref="F40:J40"/>
  </mergeCells>
  <dataValidations count="5">
    <dataValidation allowBlank="true" error="Допускается ввод только действительных чисел!" errorStyle="stop" errorTitle="Ошибка" operator="between" showDropDown="false" showErrorMessage="true" showInputMessage="false" sqref="H32:I34"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0:I30" type="decimal">
      <formula1>-9.99999999999999E+023</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5:I35"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I2 H15:I15 H17:I27 H31:I31 H36:I37" type="decimal">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I28"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01"/>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1.25" zeroHeight="false" outlineLevelRow="0" outlineLevelCol="0"/>
  <cols>
    <col collapsed="false" customWidth="true" hidden="true" outlineLevel="0" max="1" min="1" style="657" width="9.14"/>
    <col collapsed="false" customWidth="true" hidden="true" outlineLevel="0" max="2" min="2" style="47" width="3.57"/>
    <col collapsed="false" customWidth="true" hidden="false" outlineLevel="0" max="3" min="3" style="42" width="3.71"/>
    <col collapsed="false" customWidth="true" hidden="false" outlineLevel="0" max="4" min="4" style="42" width="7.71"/>
    <col collapsed="false" customWidth="true" hidden="false" outlineLevel="0" max="5" min="5" style="42" width="69.85"/>
    <col collapsed="false" customWidth="true" hidden="false" outlineLevel="0" max="6" min="6" style="42" width="11.14"/>
    <col collapsed="false" customWidth="true" hidden="true" outlineLevel="0" max="8" min="7" style="42" width="44"/>
    <col collapsed="false" customWidth="true" hidden="false" outlineLevel="0" max="10" min="9" style="42" width="44"/>
    <col collapsed="false" customWidth="true" hidden="false" outlineLevel="0" max="11" min="11" style="42" width="74"/>
    <col collapsed="false" customWidth="true" hidden="false" outlineLevel="0" max="12" min="12" style="42" width="3.71"/>
    <col collapsed="false" customWidth="false" hidden="false" outlineLevel="0" max="23" min="13" style="42" width="10.57"/>
  </cols>
  <sheetData>
    <row r="1" s="45" customFormat="true" ht="11.25" hidden="true" customHeight="true" outlineLevel="0" collapsed="false">
      <c r="A1" s="657"/>
      <c r="B1" s="47"/>
      <c r="G1" s="45" t="n">
        <v>4</v>
      </c>
      <c r="I1" s="45" t="n">
        <v>4</v>
      </c>
      <c r="K1" s="45" t="n">
        <v>5</v>
      </c>
    </row>
    <row r="2" customFormat="false" ht="3" hidden="false" customHeight="true" outlineLevel="0" collapsed="false"/>
    <row r="3" customFormat="false" ht="75" hidden="false" customHeight="true" outlineLevel="0" collapsed="false">
      <c r="D3" s="175"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75"/>
      <c r="F3" s="175"/>
    </row>
    <row r="4" s="42" customFormat="true" ht="20.25" hidden="false" customHeight="true" outlineLevel="0" collapsed="false">
      <c r="A4" s="657"/>
      <c r="B4" s="47"/>
      <c r="D4" s="265" t="str">
        <f aca="false">IF(org=0,"Не определено",org)</f>
        <v>ООО "Газпром теплоэнерго Ярославль"</v>
      </c>
      <c r="E4" s="265"/>
      <c r="F4" s="265"/>
    </row>
    <row r="5" customFormat="false" ht="11.25" hidden="false" customHeight="true" outlineLevel="0" collapsed="false">
      <c r="H5" s="296"/>
      <c r="J5" s="296"/>
    </row>
    <row r="6" customFormat="false" ht="0.75" hidden="false" customHeight="true" outlineLevel="0" collapsed="false">
      <c r="E6" s="43"/>
      <c r="F6" s="660"/>
      <c r="G6" s="692"/>
      <c r="H6" s="692"/>
      <c r="I6" s="692" t="s">
        <v>124</v>
      </c>
      <c r="J6" s="692"/>
    </row>
    <row r="7" customFormat="false" ht="11.25" hidden="false" customHeight="true" outlineLevel="0" collapsed="false">
      <c r="D7" s="604"/>
      <c r="E7" s="605" t="s">
        <v>113</v>
      </c>
      <c r="F7" s="605"/>
      <c r="G7" s="693" t="str">
        <f aca="false">IF(G6="","",INDEX(DIFFERENTIATION_UNMERGE_VD,MATCH(G6,DIFFERENTIATION_ID_DIFF,0)))</f>
        <v/>
      </c>
      <c r="H7" s="693"/>
      <c r="I7" s="693" t="n">
        <f aca="false">IF(I6="","",INDEX(DIFFERENTIATION_UNMERGE_VD,MATCH(I6,DIFFERENTIATION_ID_DIFF,0)))</f>
        <v>0</v>
      </c>
      <c r="J7" s="693"/>
      <c r="K7" s="133"/>
    </row>
    <row r="8" customFormat="false" ht="11.25" hidden="false" customHeight="true" outlineLevel="0" collapsed="false">
      <c r="D8" s="604"/>
      <c r="E8" s="605" t="s">
        <v>585</v>
      </c>
      <c r="F8" s="605"/>
      <c r="G8" s="693" t="str">
        <f aca="false">IF(G6="","",INDEX(DIFFERENTIATION_UNMERGE_AREA,MATCH(G6,DIFFERENTIATION_ID_DIFF,0)))</f>
        <v/>
      </c>
      <c r="H8" s="693"/>
      <c r="I8" s="693" t="str">
        <f aca="false">IF(I6="","",INDEX(DIFFERENTIATION_UNMERGE_AREA,MATCH(I6,DIFFERENTIATION_ID_DIFF,0)))</f>
        <v/>
      </c>
      <c r="J8" s="693"/>
      <c r="K8" s="133"/>
    </row>
    <row r="9" customFormat="false" ht="11.25" hidden="false" customHeight="true" outlineLevel="0" collapsed="false">
      <c r="D9" s="604"/>
      <c r="E9" s="605" t="s">
        <v>586</v>
      </c>
      <c r="F9" s="605"/>
      <c r="G9" s="693" t="str">
        <f aca="false">IF(G6="","",INDEX(DIFFERENTIATION_UNMERGE_SYSTEM,MATCH(G6,DIFFERENTIATION_ID_DIFF,0)))</f>
        <v/>
      </c>
      <c r="H9" s="693"/>
      <c r="I9" s="693" t="str">
        <f aca="false">IF(I6="","",INDEX(DIFFERENTIATION_UNMERGE_SYSTEM,MATCH(I6,DIFFERENTIATION_ID_DIFF,0)))</f>
        <v>без дифференциации</v>
      </c>
      <c r="J9" s="693"/>
      <c r="K9" s="133"/>
    </row>
    <row r="10" s="42" customFormat="true" ht="11.25" hidden="false" customHeight="true" outlineLevel="0" collapsed="false">
      <c r="A10" s="657"/>
      <c r="B10" s="47"/>
      <c r="D10" s="133" t="s">
        <v>316</v>
      </c>
      <c r="E10" s="133"/>
      <c r="F10" s="133"/>
      <c r="G10" s="133"/>
      <c r="H10" s="133"/>
      <c r="I10" s="133"/>
      <c r="J10" s="133"/>
      <c r="K10" s="133"/>
    </row>
    <row r="11" s="42" customFormat="true" ht="22.5" hidden="false" customHeight="true" outlineLevel="0" collapsed="false">
      <c r="A11" s="491"/>
      <c r="B11" s="491"/>
      <c r="C11" s="344"/>
      <c r="D11" s="145" t="s">
        <v>84</v>
      </c>
      <c r="E11" s="145" t="s">
        <v>742</v>
      </c>
      <c r="F11" s="145" t="s">
        <v>587</v>
      </c>
      <c r="G11" s="145" t="s">
        <v>319</v>
      </c>
      <c r="H11" s="145" t="s">
        <v>406</v>
      </c>
      <c r="I11" s="145" t="s">
        <v>319</v>
      </c>
      <c r="J11" s="269" t="s">
        <v>406</v>
      </c>
      <c r="K11" s="133"/>
      <c r="L11" s="491"/>
    </row>
    <row r="12" s="47" customFormat="true" ht="10.5" hidden="false" customHeight="true" outlineLevel="0" collapsed="false">
      <c r="A12" s="459"/>
      <c r="D12" s="459" t="s">
        <v>117</v>
      </c>
      <c r="E12" s="459" t="s">
        <v>99</v>
      </c>
      <c r="F12" s="459" t="s">
        <v>86</v>
      </c>
      <c r="G12" s="120" t="str">
        <f aca="false">G1&amp;".1"</f>
        <v>4.1</v>
      </c>
      <c r="H12" s="120" t="str">
        <f aca="false">G1&amp;".2"</f>
        <v>4.2</v>
      </c>
      <c r="I12" s="120" t="str">
        <f aca="false">I1&amp;".1"</f>
        <v>4.1</v>
      </c>
      <c r="J12" s="120" t="str">
        <f aca="false">I1&amp;".2"</f>
        <v>4.2</v>
      </c>
      <c r="K12" s="120"/>
    </row>
    <row r="13" customFormat="false" ht="22.5" hidden="true" customHeight="true" outlineLevel="0" collapsed="false">
      <c r="A13" s="694" t="s">
        <v>743</v>
      </c>
      <c r="D13" s="197" t="s">
        <v>117</v>
      </c>
      <c r="E13" s="609" t="s">
        <v>744</v>
      </c>
      <c r="F13" s="134" t="s">
        <v>745</v>
      </c>
      <c r="G13" s="610"/>
      <c r="H13" s="695"/>
      <c r="I13" s="610"/>
      <c r="J13" s="695"/>
      <c r="K13" s="420" t="s">
        <v>746</v>
      </c>
      <c r="L13" s="696"/>
    </row>
    <row r="14" customFormat="false" ht="22.5" hidden="true" customHeight="true" outlineLevel="0" collapsed="false">
      <c r="A14" s="694"/>
      <c r="D14" s="197" t="s">
        <v>99</v>
      </c>
      <c r="E14" s="609" t="s">
        <v>747</v>
      </c>
      <c r="F14" s="134" t="s">
        <v>748</v>
      </c>
      <c r="G14" s="610"/>
      <c r="H14" s="695"/>
      <c r="I14" s="610"/>
      <c r="J14" s="695"/>
      <c r="K14" s="420" t="s">
        <v>749</v>
      </c>
      <c r="L14" s="696"/>
    </row>
    <row r="15" s="42" customFormat="true" ht="78.75" hidden="true" customHeight="true" outlineLevel="0" collapsed="false">
      <c r="A15" s="694"/>
      <c r="B15" s="47"/>
      <c r="D15" s="197" t="s">
        <v>86</v>
      </c>
      <c r="E15" s="609" t="s">
        <v>750</v>
      </c>
      <c r="F15" s="145" t="s">
        <v>322</v>
      </c>
      <c r="G15" s="145" t="s">
        <v>322</v>
      </c>
      <c r="H15" s="245"/>
      <c r="I15" s="145" t="s">
        <v>322</v>
      </c>
      <c r="J15" s="245"/>
      <c r="K15" s="420" t="s">
        <v>751</v>
      </c>
      <c r="L15" s="696"/>
    </row>
    <row r="16" s="42" customFormat="true" ht="22.5" hidden="true" customHeight="true" outlineLevel="0" collapsed="false">
      <c r="A16" s="694"/>
      <c r="B16" s="47"/>
      <c r="D16" s="197" t="s">
        <v>340</v>
      </c>
      <c r="E16" s="557" t="s">
        <v>752</v>
      </c>
      <c r="F16" s="145" t="s">
        <v>753</v>
      </c>
      <c r="G16" s="697"/>
      <c r="H16" s="245"/>
      <c r="I16" s="697"/>
      <c r="J16" s="245"/>
      <c r="K16" s="420"/>
      <c r="L16" s="696"/>
    </row>
    <row r="17" s="42" customFormat="true" ht="22.5" hidden="true" customHeight="true" outlineLevel="0" collapsed="false">
      <c r="A17" s="694"/>
      <c r="B17" s="47"/>
      <c r="D17" s="197" t="s">
        <v>348</v>
      </c>
      <c r="E17" s="557" t="s">
        <v>754</v>
      </c>
      <c r="F17" s="145" t="s">
        <v>755</v>
      </c>
      <c r="G17" s="697"/>
      <c r="H17" s="245"/>
      <c r="I17" s="697"/>
      <c r="J17" s="245"/>
      <c r="K17" s="420"/>
      <c r="L17" s="696"/>
    </row>
    <row r="18" s="42" customFormat="true" ht="33.75" hidden="true" customHeight="true" outlineLevel="0" collapsed="false">
      <c r="A18" s="694"/>
      <c r="B18" s="47"/>
      <c r="D18" s="197" t="s">
        <v>350</v>
      </c>
      <c r="E18" s="557" t="s">
        <v>756</v>
      </c>
      <c r="F18" s="145" t="s">
        <v>592</v>
      </c>
      <c r="G18" s="698"/>
      <c r="H18" s="245"/>
      <c r="I18" s="698"/>
      <c r="J18" s="245"/>
      <c r="K18" s="420"/>
      <c r="L18" s="696"/>
    </row>
    <row r="19" customFormat="false" ht="101.25" hidden="true" customHeight="true" outlineLevel="0" collapsed="false">
      <c r="A19" s="694"/>
      <c r="D19" s="197" t="s">
        <v>87</v>
      </c>
      <c r="E19" s="609" t="s">
        <v>757</v>
      </c>
      <c r="F19" s="134" t="s">
        <v>567</v>
      </c>
      <c r="G19" s="337"/>
      <c r="H19" s="695"/>
      <c r="I19" s="337"/>
      <c r="J19" s="695"/>
      <c r="K19" s="420" t="s">
        <v>758</v>
      </c>
      <c r="L19" s="696"/>
    </row>
    <row r="20" s="42" customFormat="true" ht="18.75" hidden="true" customHeight="true" outlineLevel="0" collapsed="false">
      <c r="A20" s="694"/>
      <c r="C20" s="116"/>
      <c r="D20" s="197" t="s">
        <v>688</v>
      </c>
      <c r="E20" s="557" t="s">
        <v>759</v>
      </c>
      <c r="F20" s="145" t="s">
        <v>322</v>
      </c>
      <c r="G20" s="145" t="s">
        <v>322</v>
      </c>
      <c r="H20" s="266" t="s">
        <v>322</v>
      </c>
      <c r="I20" s="145" t="s">
        <v>322</v>
      </c>
      <c r="J20" s="266" t="s">
        <v>322</v>
      </c>
      <c r="K20" s="269"/>
      <c r="L20" s="696"/>
      <c r="W20" s="103"/>
    </row>
    <row r="21" s="42" customFormat="true" ht="33.75" hidden="true" customHeight="true" outlineLevel="0" collapsed="false">
      <c r="A21" s="694"/>
      <c r="C21" s="116"/>
      <c r="D21" s="197" t="s">
        <v>691</v>
      </c>
      <c r="E21" s="626" t="s">
        <v>760</v>
      </c>
      <c r="F21" s="145" t="s">
        <v>761</v>
      </c>
      <c r="G21" s="699"/>
      <c r="H21" s="245"/>
      <c r="I21" s="699"/>
      <c r="J21" s="245"/>
      <c r="K21" s="269"/>
      <c r="L21" s="696"/>
      <c r="W21" s="103"/>
    </row>
    <row r="22" s="42" customFormat="true" ht="33.75" hidden="true" customHeight="true" outlineLevel="0" collapsed="false">
      <c r="A22" s="694"/>
      <c r="C22" s="116"/>
      <c r="D22" s="197" t="s">
        <v>694</v>
      </c>
      <c r="E22" s="626" t="s">
        <v>762</v>
      </c>
      <c r="F22" s="145" t="s">
        <v>763</v>
      </c>
      <c r="G22" s="699"/>
      <c r="H22" s="245"/>
      <c r="I22" s="699"/>
      <c r="J22" s="245"/>
      <c r="K22" s="269"/>
      <c r="L22" s="696"/>
      <c r="W22" s="103"/>
    </row>
    <row r="23" s="42" customFormat="true" ht="22.5" hidden="true" customHeight="true" outlineLevel="0" collapsed="false">
      <c r="A23" s="694"/>
      <c r="C23" s="116"/>
      <c r="D23" s="197" t="s">
        <v>731</v>
      </c>
      <c r="E23" s="557" t="s">
        <v>764</v>
      </c>
      <c r="F23" s="145" t="s">
        <v>322</v>
      </c>
      <c r="G23" s="145" t="s">
        <v>322</v>
      </c>
      <c r="H23" s="266" t="s">
        <v>322</v>
      </c>
      <c r="I23" s="145" t="s">
        <v>322</v>
      </c>
      <c r="J23" s="266" t="s">
        <v>322</v>
      </c>
      <c r="K23" s="269"/>
      <c r="L23" s="696"/>
      <c r="W23" s="103"/>
    </row>
    <row r="24" s="42" customFormat="true" ht="22.5" hidden="true" customHeight="true" outlineLevel="0" collapsed="false">
      <c r="A24" s="694"/>
      <c r="C24" s="116"/>
      <c r="D24" s="197" t="s">
        <v>765</v>
      </c>
      <c r="E24" s="626" t="s">
        <v>766</v>
      </c>
      <c r="F24" s="145" t="s">
        <v>767</v>
      </c>
      <c r="G24" s="699"/>
      <c r="H24" s="700"/>
      <c r="I24" s="699"/>
      <c r="J24" s="700"/>
      <c r="K24" s="269"/>
      <c r="L24" s="696"/>
      <c r="W24" s="103"/>
    </row>
    <row r="25" s="42" customFormat="true" ht="22.5" hidden="true" customHeight="true" outlineLevel="0" collapsed="false">
      <c r="A25" s="694"/>
      <c r="C25" s="116"/>
      <c r="D25" s="197" t="s">
        <v>768</v>
      </c>
      <c r="E25" s="626" t="s">
        <v>769</v>
      </c>
      <c r="F25" s="145" t="s">
        <v>322</v>
      </c>
      <c r="G25" s="145" t="s">
        <v>322</v>
      </c>
      <c r="H25" s="266" t="s">
        <v>322</v>
      </c>
      <c r="I25" s="145" t="s">
        <v>322</v>
      </c>
      <c r="J25" s="266" t="s">
        <v>322</v>
      </c>
      <c r="K25" s="269"/>
      <c r="L25" s="696"/>
      <c r="W25" s="103"/>
    </row>
    <row r="26" s="42" customFormat="true" ht="18.75" hidden="true" customHeight="true" outlineLevel="0" collapsed="false">
      <c r="A26" s="694"/>
      <c r="C26" s="116"/>
      <c r="D26" s="197" t="s">
        <v>770</v>
      </c>
      <c r="E26" s="596" t="s">
        <v>771</v>
      </c>
      <c r="F26" s="145" t="s">
        <v>772</v>
      </c>
      <c r="G26" s="698"/>
      <c r="H26" s="700"/>
      <c r="I26" s="698"/>
      <c r="J26" s="700"/>
      <c r="K26" s="269"/>
      <c r="L26" s="696"/>
      <c r="W26" s="103"/>
    </row>
    <row r="27" s="42" customFormat="true" ht="18.75" hidden="true" customHeight="true" outlineLevel="0" collapsed="false">
      <c r="A27" s="694"/>
      <c r="C27" s="116"/>
      <c r="D27" s="197" t="s">
        <v>773</v>
      </c>
      <c r="E27" s="596" t="s">
        <v>774</v>
      </c>
      <c r="F27" s="145" t="s">
        <v>775</v>
      </c>
      <c r="G27" s="698"/>
      <c r="H27" s="700"/>
      <c r="I27" s="698"/>
      <c r="J27" s="700"/>
      <c r="K27" s="269"/>
      <c r="L27" s="696"/>
      <c r="W27" s="103"/>
    </row>
    <row r="28" s="42" customFormat="true" ht="18.75" hidden="true" customHeight="true" outlineLevel="0" collapsed="false">
      <c r="A28" s="694"/>
      <c r="C28" s="116"/>
      <c r="D28" s="197" t="s">
        <v>776</v>
      </c>
      <c r="E28" s="626" t="s">
        <v>777</v>
      </c>
      <c r="F28" s="145" t="s">
        <v>322</v>
      </c>
      <c r="G28" s="145" t="s">
        <v>322</v>
      </c>
      <c r="H28" s="266" t="s">
        <v>322</v>
      </c>
      <c r="I28" s="145" t="s">
        <v>322</v>
      </c>
      <c r="J28" s="266" t="s">
        <v>322</v>
      </c>
      <c r="K28" s="269"/>
      <c r="L28" s="696"/>
      <c r="W28" s="103"/>
    </row>
    <row r="29" s="42" customFormat="true" ht="18.75" hidden="true" customHeight="true" outlineLevel="0" collapsed="false">
      <c r="A29" s="694"/>
      <c r="C29" s="116"/>
      <c r="D29" s="197" t="s">
        <v>778</v>
      </c>
      <c r="E29" s="596" t="s">
        <v>771</v>
      </c>
      <c r="F29" s="145" t="s">
        <v>779</v>
      </c>
      <c r="G29" s="698"/>
      <c r="H29" s="700"/>
      <c r="I29" s="698"/>
      <c r="J29" s="700"/>
      <c r="K29" s="269"/>
      <c r="L29" s="696"/>
      <c r="W29" s="103"/>
    </row>
    <row r="30" s="42" customFormat="true" ht="18.75" hidden="true" customHeight="true" outlineLevel="0" collapsed="false">
      <c r="A30" s="694"/>
      <c r="C30" s="116"/>
      <c r="D30" s="197" t="s">
        <v>780</v>
      </c>
      <c r="E30" s="596" t="s">
        <v>781</v>
      </c>
      <c r="F30" s="145" t="s">
        <v>782</v>
      </c>
      <c r="G30" s="698"/>
      <c r="H30" s="700"/>
      <c r="I30" s="698"/>
      <c r="J30" s="700"/>
      <c r="K30" s="269"/>
      <c r="L30" s="696"/>
      <c r="W30" s="103"/>
    </row>
    <row r="31" customFormat="false" ht="126.75" hidden="true" customHeight="true" outlineLevel="0" collapsed="false">
      <c r="A31" s="694"/>
      <c r="D31" s="197" t="s">
        <v>118</v>
      </c>
      <c r="E31" s="609" t="s">
        <v>783</v>
      </c>
      <c r="F31" s="134" t="s">
        <v>579</v>
      </c>
      <c r="G31" s="610"/>
      <c r="H31" s="695"/>
      <c r="I31" s="610"/>
      <c r="J31" s="695"/>
      <c r="K31" s="420" t="s">
        <v>784</v>
      </c>
      <c r="L31" s="696"/>
    </row>
    <row r="32" customFormat="false" ht="56.25" hidden="true" customHeight="true" outlineLevel="0" collapsed="false">
      <c r="A32" s="694"/>
      <c r="D32" s="197" t="s">
        <v>88</v>
      </c>
      <c r="E32" s="609" t="s">
        <v>785</v>
      </c>
      <c r="F32" s="197" t="s">
        <v>755</v>
      </c>
      <c r="G32" s="610"/>
      <c r="H32" s="695"/>
      <c r="I32" s="610"/>
      <c r="J32" s="695"/>
      <c r="K32" s="420" t="s">
        <v>786</v>
      </c>
      <c r="L32" s="696"/>
    </row>
    <row r="33" customFormat="false" ht="11.25" hidden="true" customHeight="true" outlineLevel="0" collapsed="false">
      <c r="A33" s="694"/>
      <c r="E33" s="413"/>
      <c r="F33" s="170"/>
      <c r="G33" s="170"/>
      <c r="H33" s="170"/>
      <c r="I33" s="170"/>
      <c r="J33" s="170"/>
      <c r="K33" s="170"/>
    </row>
    <row r="34" customFormat="false" ht="12.75" hidden="true" customHeight="true" outlineLevel="0" collapsed="false">
      <c r="A34" s="694"/>
      <c r="D34" s="344" t="n">
        <v>1</v>
      </c>
      <c r="E34" s="701" t="s">
        <v>787</v>
      </c>
    </row>
    <row r="35" customFormat="false" ht="11.25" hidden="true" customHeight="true" outlineLevel="0" collapsed="false">
      <c r="A35" s="694"/>
      <c r="D35" s="344"/>
      <c r="E35" s="701" t="s">
        <v>788</v>
      </c>
    </row>
    <row r="36" s="42" customFormat="true" ht="11.25" hidden="false" customHeight="true" outlineLevel="0" collapsed="false">
      <c r="A36" s="657"/>
      <c r="B36" s="47"/>
      <c r="D36" s="344"/>
      <c r="E36" s="701"/>
    </row>
    <row r="37" s="42" customFormat="true" ht="22.5" hidden="true" customHeight="true" outlineLevel="0" collapsed="false">
      <c r="A37" s="694" t="s">
        <v>789</v>
      </c>
      <c r="B37" s="47"/>
      <c r="D37" s="197" t="n">
        <v>1</v>
      </c>
      <c r="E37" s="609" t="s">
        <v>790</v>
      </c>
      <c r="F37" s="134" t="s">
        <v>745</v>
      </c>
      <c r="G37" s="610"/>
      <c r="H37" s="702"/>
      <c r="I37" s="610"/>
      <c r="J37" s="702"/>
      <c r="K37" s="420" t="s">
        <v>791</v>
      </c>
    </row>
    <row r="38" s="42" customFormat="true" ht="22.5" hidden="true" customHeight="true" outlineLevel="0" collapsed="false">
      <c r="A38" s="694"/>
      <c r="B38" s="47"/>
      <c r="D38" s="703" t="s">
        <v>99</v>
      </c>
      <c r="E38" s="704" t="s">
        <v>792</v>
      </c>
      <c r="F38" s="705" t="s">
        <v>567</v>
      </c>
      <c r="G38" s="705" t="s">
        <v>567</v>
      </c>
      <c r="H38" s="706"/>
      <c r="I38" s="705" t="s">
        <v>567</v>
      </c>
      <c r="J38" s="706"/>
      <c r="K38" s="480"/>
    </row>
    <row r="39" s="42" customFormat="true" ht="33.75" hidden="true" customHeight="true" outlineLevel="0" collapsed="false">
      <c r="A39" s="694"/>
      <c r="B39" s="47"/>
      <c r="D39" s="707" t="s">
        <v>646</v>
      </c>
      <c r="E39" s="708" t="s">
        <v>793</v>
      </c>
      <c r="F39" s="134" t="s">
        <v>794</v>
      </c>
      <c r="G39" s="709"/>
      <c r="H39" s="710"/>
      <c r="I39" s="709"/>
      <c r="J39" s="710"/>
      <c r="K39" s="420" t="s">
        <v>795</v>
      </c>
    </row>
    <row r="40" s="42" customFormat="true" ht="33.75" hidden="true" customHeight="true" outlineLevel="0" collapsed="false">
      <c r="A40" s="694"/>
      <c r="B40" s="47"/>
      <c r="D40" s="707" t="s">
        <v>649</v>
      </c>
      <c r="E40" s="708" t="s">
        <v>796</v>
      </c>
      <c r="F40" s="711" t="s">
        <v>797</v>
      </c>
      <c r="G40" s="712"/>
      <c r="H40" s="710"/>
      <c r="I40" s="712"/>
      <c r="J40" s="710"/>
      <c r="K40" s="420" t="s">
        <v>798</v>
      </c>
    </row>
    <row r="41" s="42" customFormat="true" ht="22.5" hidden="true" customHeight="true" outlineLevel="0" collapsed="false">
      <c r="A41" s="694"/>
      <c r="B41" s="47"/>
      <c r="D41" s="707" t="s">
        <v>86</v>
      </c>
      <c r="E41" s="713" t="s">
        <v>799</v>
      </c>
      <c r="F41" s="134" t="s">
        <v>567</v>
      </c>
      <c r="G41" s="134" t="s">
        <v>567</v>
      </c>
      <c r="H41" s="714"/>
      <c r="I41" s="134" t="s">
        <v>567</v>
      </c>
      <c r="J41" s="714"/>
      <c r="K41" s="481"/>
    </row>
    <row r="42" s="42" customFormat="true" ht="45" hidden="true" customHeight="true" outlineLevel="0" collapsed="false">
      <c r="A42" s="694"/>
      <c r="B42" s="47"/>
      <c r="D42" s="707" t="s">
        <v>340</v>
      </c>
      <c r="E42" s="708" t="s">
        <v>800</v>
      </c>
      <c r="F42" s="134" t="s">
        <v>579</v>
      </c>
      <c r="G42" s="610"/>
      <c r="H42" s="714"/>
      <c r="I42" s="610"/>
      <c r="J42" s="714"/>
      <c r="K42" s="481" t="s">
        <v>801</v>
      </c>
    </row>
    <row r="43" s="42" customFormat="true" ht="45" hidden="true" customHeight="true" outlineLevel="0" collapsed="false">
      <c r="A43" s="694"/>
      <c r="B43" s="47"/>
      <c r="D43" s="707" t="s">
        <v>348</v>
      </c>
      <c r="E43" s="715" t="s">
        <v>802</v>
      </c>
      <c r="F43" s="716" t="s">
        <v>579</v>
      </c>
      <c r="G43" s="644"/>
      <c r="H43" s="710"/>
      <c r="I43" s="644"/>
      <c r="J43" s="710"/>
      <c r="K43" s="481" t="s">
        <v>803</v>
      </c>
    </row>
    <row r="44" s="42" customFormat="true" ht="11.25" hidden="true" customHeight="true" outlineLevel="0" collapsed="false">
      <c r="A44" s="694"/>
      <c r="B44" s="47"/>
      <c r="D44" s="707" t="s">
        <v>87</v>
      </c>
      <c r="E44" s="717" t="s">
        <v>804</v>
      </c>
      <c r="F44" s="134" t="s">
        <v>794</v>
      </c>
      <c r="G44" s="709"/>
      <c r="H44" s="710"/>
      <c r="I44" s="709"/>
      <c r="J44" s="710"/>
      <c r="K44" s="420"/>
    </row>
    <row r="45" s="42" customFormat="true" ht="11.25" hidden="true" customHeight="true" outlineLevel="0" collapsed="false">
      <c r="A45" s="694"/>
      <c r="B45" s="47"/>
      <c r="D45" s="707" t="s">
        <v>688</v>
      </c>
      <c r="E45" s="715" t="s">
        <v>805</v>
      </c>
      <c r="F45" s="134" t="s">
        <v>794</v>
      </c>
      <c r="G45" s="709"/>
      <c r="H45" s="710"/>
      <c r="I45" s="709"/>
      <c r="J45" s="710"/>
      <c r="K45" s="420"/>
    </row>
    <row r="46" s="42" customFormat="true" ht="11.25" hidden="true" customHeight="true" outlineLevel="0" collapsed="false">
      <c r="A46" s="694"/>
      <c r="B46" s="47"/>
      <c r="D46" s="707" t="s">
        <v>731</v>
      </c>
      <c r="E46" s="715" t="s">
        <v>806</v>
      </c>
      <c r="F46" s="134" t="s">
        <v>794</v>
      </c>
      <c r="G46" s="709"/>
      <c r="H46" s="710"/>
      <c r="I46" s="709"/>
      <c r="J46" s="710"/>
      <c r="K46" s="420"/>
    </row>
    <row r="47" s="42" customFormat="true" ht="11.25" hidden="true" customHeight="true" outlineLevel="0" collapsed="false">
      <c r="A47" s="694"/>
      <c r="B47" s="47"/>
      <c r="D47" s="707" t="s">
        <v>734</v>
      </c>
      <c r="E47" s="715" t="s">
        <v>807</v>
      </c>
      <c r="F47" s="134" t="s">
        <v>794</v>
      </c>
      <c r="G47" s="709"/>
      <c r="H47" s="710"/>
      <c r="I47" s="709"/>
      <c r="J47" s="710"/>
      <c r="K47" s="420"/>
    </row>
    <row r="48" s="42" customFormat="true" ht="11.25" hidden="true" customHeight="true" outlineLevel="0" collapsed="false">
      <c r="A48" s="694"/>
      <c r="B48" s="47"/>
      <c r="D48" s="707" t="s">
        <v>808</v>
      </c>
      <c r="E48" s="718" t="s">
        <v>809</v>
      </c>
      <c r="F48" s="134" t="s">
        <v>794</v>
      </c>
      <c r="G48" s="709"/>
      <c r="H48" s="710"/>
      <c r="I48" s="709"/>
      <c r="J48" s="710"/>
      <c r="K48" s="420"/>
    </row>
    <row r="49" s="42" customFormat="true" ht="11.25" hidden="true" customHeight="true" outlineLevel="0" collapsed="false">
      <c r="A49" s="694"/>
      <c r="B49" s="47"/>
      <c r="D49" s="707" t="s">
        <v>810</v>
      </c>
      <c r="E49" s="718" t="s">
        <v>811</v>
      </c>
      <c r="F49" s="134" t="s">
        <v>794</v>
      </c>
      <c r="G49" s="709"/>
      <c r="H49" s="710"/>
      <c r="I49" s="709"/>
      <c r="J49" s="710"/>
      <c r="K49" s="420"/>
    </row>
    <row r="50" s="42" customFormat="true" ht="11.25" hidden="true" customHeight="true" outlineLevel="0" collapsed="false">
      <c r="A50" s="694"/>
      <c r="B50" s="47"/>
      <c r="D50" s="707" t="s">
        <v>812</v>
      </c>
      <c r="E50" s="715" t="s">
        <v>813</v>
      </c>
      <c r="F50" s="134" t="s">
        <v>794</v>
      </c>
      <c r="G50" s="709"/>
      <c r="H50" s="710"/>
      <c r="I50" s="709"/>
      <c r="J50" s="710"/>
      <c r="K50" s="420"/>
    </row>
    <row r="51" s="42" customFormat="true" ht="11.25" hidden="true" customHeight="true" outlineLevel="0" collapsed="false">
      <c r="A51" s="694"/>
      <c r="B51" s="47"/>
      <c r="D51" s="707" t="s">
        <v>814</v>
      </c>
      <c r="E51" s="715" t="s">
        <v>815</v>
      </c>
      <c r="F51" s="134" t="s">
        <v>794</v>
      </c>
      <c r="G51" s="709"/>
      <c r="H51" s="710"/>
      <c r="I51" s="709"/>
      <c r="J51" s="710"/>
      <c r="K51" s="420"/>
    </row>
    <row r="52" s="42" customFormat="true" ht="45" hidden="true" customHeight="true" outlineLevel="0" collapsed="false">
      <c r="A52" s="694"/>
      <c r="B52" s="47"/>
      <c r="D52" s="707" t="s">
        <v>118</v>
      </c>
      <c r="E52" s="717" t="s">
        <v>816</v>
      </c>
      <c r="F52" s="134" t="s">
        <v>794</v>
      </c>
      <c r="G52" s="709"/>
      <c r="H52" s="710"/>
      <c r="I52" s="709"/>
      <c r="J52" s="710"/>
      <c r="K52" s="420"/>
    </row>
    <row r="53" s="42" customFormat="true" ht="11.25" hidden="true" customHeight="true" outlineLevel="0" collapsed="false">
      <c r="A53" s="694"/>
      <c r="B53" s="47"/>
      <c r="D53" s="707" t="s">
        <v>329</v>
      </c>
      <c r="E53" s="715" t="s">
        <v>805</v>
      </c>
      <c r="F53" s="134" t="s">
        <v>794</v>
      </c>
      <c r="G53" s="709"/>
      <c r="H53" s="710"/>
      <c r="I53" s="709"/>
      <c r="J53" s="710"/>
      <c r="K53" s="420"/>
    </row>
    <row r="54" s="42" customFormat="true" ht="11.25" hidden="true" customHeight="true" outlineLevel="0" collapsed="false">
      <c r="A54" s="694"/>
      <c r="B54" s="47"/>
      <c r="D54" s="707" t="s">
        <v>817</v>
      </c>
      <c r="E54" s="715" t="s">
        <v>806</v>
      </c>
      <c r="F54" s="134" t="s">
        <v>794</v>
      </c>
      <c r="G54" s="709"/>
      <c r="H54" s="710"/>
      <c r="I54" s="709"/>
      <c r="J54" s="710"/>
      <c r="K54" s="420"/>
    </row>
    <row r="55" s="42" customFormat="true" ht="11.25" hidden="true" customHeight="true" outlineLevel="0" collapsed="false">
      <c r="A55" s="694"/>
      <c r="B55" s="47"/>
      <c r="D55" s="707" t="s">
        <v>818</v>
      </c>
      <c r="E55" s="715" t="s">
        <v>807</v>
      </c>
      <c r="F55" s="134" t="s">
        <v>794</v>
      </c>
      <c r="G55" s="709"/>
      <c r="H55" s="710"/>
      <c r="I55" s="709"/>
      <c r="J55" s="710"/>
      <c r="K55" s="420"/>
    </row>
    <row r="56" s="42" customFormat="true" ht="11.25" hidden="true" customHeight="true" outlineLevel="0" collapsed="false">
      <c r="A56" s="694"/>
      <c r="B56" s="47"/>
      <c r="D56" s="707" t="s">
        <v>819</v>
      </c>
      <c r="E56" s="718" t="s">
        <v>809</v>
      </c>
      <c r="F56" s="134" t="s">
        <v>794</v>
      </c>
      <c r="G56" s="709"/>
      <c r="H56" s="710"/>
      <c r="I56" s="709"/>
      <c r="J56" s="710"/>
      <c r="K56" s="420"/>
    </row>
    <row r="57" s="42" customFormat="true" ht="11.25" hidden="true" customHeight="true" outlineLevel="0" collapsed="false">
      <c r="A57" s="694"/>
      <c r="B57" s="47"/>
      <c r="D57" s="707" t="s">
        <v>820</v>
      </c>
      <c r="E57" s="718" t="s">
        <v>811</v>
      </c>
      <c r="F57" s="134" t="s">
        <v>794</v>
      </c>
      <c r="G57" s="709"/>
      <c r="H57" s="710"/>
      <c r="I57" s="709"/>
      <c r="J57" s="710"/>
      <c r="K57" s="420"/>
    </row>
    <row r="58" s="42" customFormat="true" ht="11.25" hidden="true" customHeight="true" outlineLevel="0" collapsed="false">
      <c r="A58" s="694"/>
      <c r="B58" s="47"/>
      <c r="D58" s="707" t="s">
        <v>821</v>
      </c>
      <c r="E58" s="715" t="s">
        <v>813</v>
      </c>
      <c r="F58" s="134" t="s">
        <v>794</v>
      </c>
      <c r="G58" s="709"/>
      <c r="H58" s="710"/>
      <c r="I58" s="709"/>
      <c r="J58" s="710"/>
      <c r="K58" s="420"/>
    </row>
    <row r="59" s="42" customFormat="true" ht="11.25" hidden="true" customHeight="true" outlineLevel="0" collapsed="false">
      <c r="A59" s="694"/>
      <c r="B59" s="47"/>
      <c r="D59" s="707" t="s">
        <v>822</v>
      </c>
      <c r="E59" s="715" t="s">
        <v>815</v>
      </c>
      <c r="F59" s="134" t="s">
        <v>794</v>
      </c>
      <c r="G59" s="709"/>
      <c r="H59" s="710"/>
      <c r="I59" s="709"/>
      <c r="J59" s="710"/>
      <c r="K59" s="420"/>
    </row>
    <row r="60" s="42" customFormat="true" ht="33.75" hidden="true" customHeight="true" outlineLevel="0" collapsed="false">
      <c r="A60" s="694"/>
      <c r="B60" s="47"/>
      <c r="D60" s="707" t="s">
        <v>88</v>
      </c>
      <c r="E60" s="717" t="s">
        <v>823</v>
      </c>
      <c r="F60" s="719" t="s">
        <v>579</v>
      </c>
      <c r="G60" s="644"/>
      <c r="H60" s="710"/>
      <c r="I60" s="644"/>
      <c r="J60" s="710"/>
      <c r="K60" s="481" t="s">
        <v>824</v>
      </c>
    </row>
    <row r="61" s="42" customFormat="true" ht="33.75" hidden="true" customHeight="true" outlineLevel="0" collapsed="false">
      <c r="A61" s="694"/>
      <c r="B61" s="47"/>
      <c r="D61" s="707" t="s">
        <v>89</v>
      </c>
      <c r="E61" s="717" t="s">
        <v>825</v>
      </c>
      <c r="F61" s="720" t="s">
        <v>755</v>
      </c>
      <c r="G61" s="709"/>
      <c r="H61" s="710"/>
      <c r="I61" s="709"/>
      <c r="J61" s="710"/>
      <c r="K61" s="420"/>
    </row>
    <row r="62" s="42" customFormat="true" ht="22.5" hidden="true" customHeight="true" outlineLevel="0" collapsed="false">
      <c r="A62" s="694"/>
      <c r="B62" s="47" t="s">
        <v>609</v>
      </c>
      <c r="D62" s="707" t="s">
        <v>119</v>
      </c>
      <c r="E62" s="717" t="s">
        <v>826</v>
      </c>
      <c r="F62" s="720" t="s">
        <v>322</v>
      </c>
      <c r="G62" s="406"/>
      <c r="H62" s="710"/>
      <c r="I62" s="406"/>
      <c r="J62" s="710"/>
      <c r="K62" s="420" t="s">
        <v>827</v>
      </c>
    </row>
    <row r="63" s="42" customFormat="true" ht="45" hidden="true" customHeight="true" outlineLevel="0" collapsed="false">
      <c r="A63" s="694"/>
      <c r="B63" s="47" t="s">
        <v>609</v>
      </c>
      <c r="D63" s="707" t="s">
        <v>828</v>
      </c>
      <c r="E63" s="715" t="s">
        <v>829</v>
      </c>
      <c r="F63" s="719" t="s">
        <v>322</v>
      </c>
      <c r="G63" s="406"/>
      <c r="H63" s="710"/>
      <c r="I63" s="406"/>
      <c r="J63" s="710"/>
      <c r="K63" s="420" t="s">
        <v>827</v>
      </c>
    </row>
    <row r="64" s="42" customFormat="true" ht="11.25" hidden="false" customHeight="true" outlineLevel="0" collapsed="false">
      <c r="A64" s="657"/>
      <c r="B64" s="47"/>
      <c r="D64" s="344"/>
      <c r="E64" s="701"/>
    </row>
    <row r="65" s="42" customFormat="true" ht="22.5" hidden="false" customHeight="true" outlineLevel="0" collapsed="false">
      <c r="A65" s="694" t="s">
        <v>830</v>
      </c>
      <c r="B65" s="47"/>
      <c r="D65" s="707" t="n">
        <v>1</v>
      </c>
      <c r="E65" s="721" t="s">
        <v>831</v>
      </c>
      <c r="F65" s="722" t="s">
        <v>745</v>
      </c>
      <c r="G65" s="712"/>
      <c r="H65" s="723"/>
      <c r="I65" s="712"/>
      <c r="J65" s="723"/>
      <c r="K65" s="478" t="s">
        <v>832</v>
      </c>
    </row>
    <row r="66" s="42" customFormat="true" ht="56.25" hidden="false" customHeight="true" outlineLevel="0" collapsed="false">
      <c r="A66" s="694"/>
      <c r="B66" s="47"/>
      <c r="D66" s="724" t="s">
        <v>99</v>
      </c>
      <c r="E66" s="609" t="s">
        <v>833</v>
      </c>
      <c r="F66" s="134" t="s">
        <v>567</v>
      </c>
      <c r="G66" s="134" t="s">
        <v>567</v>
      </c>
      <c r="H66" s="702"/>
      <c r="I66" s="134" t="s">
        <v>567</v>
      </c>
      <c r="J66" s="702"/>
      <c r="K66" s="420"/>
    </row>
    <row r="67" s="42" customFormat="true" ht="33.75" hidden="false" customHeight="true" outlineLevel="0" collapsed="false">
      <c r="A67" s="694"/>
      <c r="B67" s="47"/>
      <c r="D67" s="724" t="s">
        <v>643</v>
      </c>
      <c r="E67" s="557" t="s">
        <v>834</v>
      </c>
      <c r="F67" s="134" t="s">
        <v>797</v>
      </c>
      <c r="G67" s="725"/>
      <c r="H67" s="702"/>
      <c r="I67" s="725"/>
      <c r="J67" s="702"/>
      <c r="K67" s="420"/>
    </row>
    <row r="68" s="42" customFormat="true" ht="22.5" hidden="false" customHeight="true" outlineLevel="0" collapsed="false">
      <c r="A68" s="694"/>
      <c r="B68" s="47"/>
      <c r="D68" s="724" t="s">
        <v>323</v>
      </c>
      <c r="E68" s="557" t="s">
        <v>835</v>
      </c>
      <c r="F68" s="134" t="s">
        <v>797</v>
      </c>
      <c r="G68" s="725"/>
      <c r="H68" s="702"/>
      <c r="I68" s="725"/>
      <c r="J68" s="702"/>
      <c r="K68" s="420"/>
    </row>
    <row r="69" s="42" customFormat="true" ht="22.5" hidden="false" customHeight="true" outlineLevel="0" collapsed="false">
      <c r="A69" s="694"/>
      <c r="B69" s="47"/>
      <c r="D69" s="724" t="s">
        <v>326</v>
      </c>
      <c r="E69" s="557" t="s">
        <v>836</v>
      </c>
      <c r="F69" s="719" t="s">
        <v>579</v>
      </c>
      <c r="G69" s="644"/>
      <c r="H69" s="702"/>
      <c r="I69" s="644"/>
      <c r="J69" s="702"/>
      <c r="K69" s="420"/>
    </row>
    <row r="70" s="42" customFormat="true" ht="22.5" hidden="false" customHeight="true" outlineLevel="0" collapsed="false">
      <c r="A70" s="694"/>
      <c r="B70" s="47"/>
      <c r="D70" s="724" t="s">
        <v>663</v>
      </c>
      <c r="E70" s="557" t="s">
        <v>837</v>
      </c>
      <c r="F70" s="719" t="s">
        <v>579</v>
      </c>
      <c r="G70" s="644"/>
      <c r="H70" s="702"/>
      <c r="I70" s="644"/>
      <c r="J70" s="702"/>
      <c r="K70" s="420"/>
    </row>
    <row r="71" s="42" customFormat="true" ht="22.5" hidden="false" customHeight="true" outlineLevel="0" collapsed="false">
      <c r="A71" s="694"/>
      <c r="B71" s="47"/>
      <c r="D71" s="707" t="s">
        <v>86</v>
      </c>
      <c r="E71" s="717" t="s">
        <v>838</v>
      </c>
      <c r="F71" s="134" t="s">
        <v>797</v>
      </c>
      <c r="G71" s="610"/>
      <c r="H71" s="706"/>
      <c r="I71" s="610"/>
      <c r="J71" s="706"/>
      <c r="K71" s="481"/>
    </row>
    <row r="72" s="42" customFormat="true" ht="56.25" hidden="false" customHeight="true" outlineLevel="0" collapsed="false">
      <c r="A72" s="694"/>
      <c r="B72" s="47"/>
      <c r="D72" s="707" t="s">
        <v>87</v>
      </c>
      <c r="E72" s="717" t="s">
        <v>839</v>
      </c>
      <c r="F72" s="719" t="s">
        <v>579</v>
      </c>
      <c r="G72" s="644"/>
      <c r="H72" s="710"/>
      <c r="I72" s="644"/>
      <c r="J72" s="710"/>
      <c r="K72" s="481"/>
    </row>
    <row r="73" s="42" customFormat="true" ht="33.75" hidden="false" customHeight="true" outlineLevel="0" collapsed="false">
      <c r="A73" s="694"/>
      <c r="B73" s="47"/>
      <c r="D73" s="707" t="s">
        <v>118</v>
      </c>
      <c r="E73" s="717" t="s">
        <v>840</v>
      </c>
      <c r="F73" s="720" t="s">
        <v>755</v>
      </c>
      <c r="G73" s="709"/>
      <c r="H73" s="710"/>
      <c r="I73" s="709"/>
      <c r="J73" s="710"/>
      <c r="K73" s="420"/>
    </row>
    <row r="74" s="42" customFormat="true" ht="22.5" hidden="false" customHeight="true" outlineLevel="0" collapsed="false">
      <c r="A74" s="694"/>
      <c r="B74" s="47" t="s">
        <v>609</v>
      </c>
      <c r="D74" s="707" t="s">
        <v>88</v>
      </c>
      <c r="E74" s="717" t="s">
        <v>841</v>
      </c>
      <c r="F74" s="720" t="s">
        <v>322</v>
      </c>
      <c r="G74" s="406"/>
      <c r="H74" s="710"/>
      <c r="I74" s="406"/>
      <c r="J74" s="710"/>
      <c r="K74" s="420" t="s">
        <v>827</v>
      </c>
    </row>
    <row r="75" s="42" customFormat="true" ht="45" hidden="false" customHeight="true" outlineLevel="0" collapsed="false">
      <c r="A75" s="694"/>
      <c r="B75" s="47" t="s">
        <v>609</v>
      </c>
      <c r="D75" s="707" t="s">
        <v>842</v>
      </c>
      <c r="E75" s="715" t="s">
        <v>843</v>
      </c>
      <c r="F75" s="719" t="s">
        <v>322</v>
      </c>
      <c r="G75" s="406"/>
      <c r="H75" s="710"/>
      <c r="I75" s="406"/>
      <c r="J75" s="710"/>
      <c r="K75" s="420" t="s">
        <v>827</v>
      </c>
    </row>
    <row r="76" s="42" customFormat="true" ht="11.25" hidden="false" customHeight="true" outlineLevel="0" collapsed="false">
      <c r="A76" s="657"/>
      <c r="B76" s="47"/>
      <c r="D76" s="344"/>
      <c r="E76" s="701"/>
    </row>
    <row r="77" s="42" customFormat="true" ht="11.25" hidden="true" customHeight="true" outlineLevel="0" collapsed="false">
      <c r="A77" s="694" t="s">
        <v>844</v>
      </c>
      <c r="B77" s="47"/>
      <c r="D77" s="707" t="n">
        <v>1</v>
      </c>
      <c r="E77" s="717" t="s">
        <v>845</v>
      </c>
      <c r="F77" s="719" t="s">
        <v>745</v>
      </c>
      <c r="G77" s="726"/>
      <c r="H77" s="710"/>
      <c r="I77" s="726"/>
      <c r="J77" s="710"/>
      <c r="K77" s="420" t="s">
        <v>846</v>
      </c>
    </row>
    <row r="78" s="42" customFormat="true" ht="11.25" hidden="true" customHeight="true" outlineLevel="0" collapsed="false">
      <c r="A78" s="694"/>
      <c r="B78" s="47"/>
      <c r="D78" s="707" t="s">
        <v>99</v>
      </c>
      <c r="E78" s="717" t="s">
        <v>847</v>
      </c>
      <c r="F78" s="719" t="s">
        <v>745</v>
      </c>
      <c r="G78" s="726"/>
      <c r="H78" s="710"/>
      <c r="I78" s="726"/>
      <c r="J78" s="710"/>
      <c r="K78" s="420" t="s">
        <v>848</v>
      </c>
    </row>
    <row r="79" s="42" customFormat="true" ht="22.5" hidden="true" customHeight="true" outlineLevel="0" collapsed="false">
      <c r="A79" s="694"/>
      <c r="B79" s="47"/>
      <c r="D79" s="707" t="s">
        <v>86</v>
      </c>
      <c r="E79" s="713" t="s">
        <v>849</v>
      </c>
      <c r="F79" s="134" t="s">
        <v>794</v>
      </c>
      <c r="G79" s="726"/>
      <c r="H79" s="710"/>
      <c r="I79" s="726"/>
      <c r="J79" s="710"/>
      <c r="K79" s="420" t="s">
        <v>850</v>
      </c>
    </row>
    <row r="80" s="42" customFormat="true" ht="11.25" hidden="true" customHeight="true" outlineLevel="0" collapsed="false">
      <c r="A80" s="694"/>
      <c r="B80" s="47"/>
      <c r="D80" s="707" t="s">
        <v>340</v>
      </c>
      <c r="E80" s="708" t="s">
        <v>851</v>
      </c>
      <c r="F80" s="134" t="s">
        <v>794</v>
      </c>
      <c r="G80" s="726"/>
      <c r="H80" s="710"/>
      <c r="I80" s="726"/>
      <c r="J80" s="710"/>
      <c r="K80" s="420"/>
    </row>
    <row r="81" s="42" customFormat="true" ht="11.25" hidden="true" customHeight="true" outlineLevel="0" collapsed="false">
      <c r="A81" s="694"/>
      <c r="B81" s="47"/>
      <c r="D81" s="707" t="s">
        <v>348</v>
      </c>
      <c r="E81" s="708" t="s">
        <v>852</v>
      </c>
      <c r="F81" s="134" t="s">
        <v>794</v>
      </c>
      <c r="G81" s="726"/>
      <c r="H81" s="710"/>
      <c r="I81" s="726"/>
      <c r="J81" s="710"/>
      <c r="K81" s="420"/>
    </row>
    <row r="82" s="42" customFormat="true" ht="11.25" hidden="true" customHeight="true" outlineLevel="0" collapsed="false">
      <c r="A82" s="694"/>
      <c r="B82" s="47"/>
      <c r="D82" s="707" t="s">
        <v>350</v>
      </c>
      <c r="E82" s="708" t="s">
        <v>853</v>
      </c>
      <c r="F82" s="134" t="s">
        <v>794</v>
      </c>
      <c r="G82" s="726"/>
      <c r="H82" s="710"/>
      <c r="I82" s="726"/>
      <c r="J82" s="710"/>
      <c r="K82" s="420"/>
    </row>
    <row r="83" s="42" customFormat="true" ht="11.25" hidden="true" customHeight="true" outlineLevel="0" collapsed="false">
      <c r="A83" s="694"/>
      <c r="B83" s="47"/>
      <c r="D83" s="707" t="s">
        <v>352</v>
      </c>
      <c r="E83" s="708" t="s">
        <v>854</v>
      </c>
      <c r="F83" s="134" t="s">
        <v>794</v>
      </c>
      <c r="G83" s="726"/>
      <c r="H83" s="710"/>
      <c r="I83" s="726"/>
      <c r="J83" s="710"/>
      <c r="K83" s="420"/>
    </row>
    <row r="84" s="42" customFormat="true" ht="11.25" hidden="true" customHeight="true" outlineLevel="0" collapsed="false">
      <c r="A84" s="694"/>
      <c r="B84" s="47"/>
      <c r="D84" s="707" t="s">
        <v>855</v>
      </c>
      <c r="E84" s="708" t="s">
        <v>856</v>
      </c>
      <c r="F84" s="134" t="s">
        <v>794</v>
      </c>
      <c r="G84" s="726"/>
      <c r="H84" s="710"/>
      <c r="I84" s="726"/>
      <c r="J84" s="710"/>
      <c r="K84" s="420"/>
    </row>
    <row r="85" s="42" customFormat="true" ht="11.25" hidden="true" customHeight="true" outlineLevel="0" collapsed="false">
      <c r="A85" s="694"/>
      <c r="B85" s="47"/>
      <c r="D85" s="707" t="s">
        <v>857</v>
      </c>
      <c r="E85" s="708" t="s">
        <v>858</v>
      </c>
      <c r="F85" s="134" t="s">
        <v>794</v>
      </c>
      <c r="G85" s="726"/>
      <c r="H85" s="710"/>
      <c r="I85" s="726"/>
      <c r="J85" s="710"/>
      <c r="K85" s="420"/>
    </row>
    <row r="86" s="42" customFormat="true" ht="11.25" hidden="true" customHeight="true" outlineLevel="0" collapsed="false">
      <c r="A86" s="694"/>
      <c r="B86" s="47"/>
      <c r="D86" s="707" t="s">
        <v>859</v>
      </c>
      <c r="E86" s="708" t="s">
        <v>860</v>
      </c>
      <c r="F86" s="134" t="s">
        <v>794</v>
      </c>
      <c r="G86" s="726"/>
      <c r="H86" s="710"/>
      <c r="I86" s="726"/>
      <c r="J86" s="710"/>
      <c r="K86" s="420"/>
    </row>
    <row r="87" s="42" customFormat="true" ht="45" hidden="true" customHeight="true" outlineLevel="0" collapsed="false">
      <c r="A87" s="694"/>
      <c r="B87" s="47"/>
      <c r="D87" s="707" t="s">
        <v>87</v>
      </c>
      <c r="E87" s="717" t="s">
        <v>861</v>
      </c>
      <c r="F87" s="134" t="s">
        <v>794</v>
      </c>
      <c r="G87" s="726"/>
      <c r="H87" s="710"/>
      <c r="I87" s="726"/>
      <c r="J87" s="710"/>
      <c r="K87" s="420" t="s">
        <v>862</v>
      </c>
    </row>
    <row r="88" s="42" customFormat="true" ht="11.25" hidden="true" customHeight="true" outlineLevel="0" collapsed="false">
      <c r="A88" s="694"/>
      <c r="B88" s="47"/>
      <c r="D88" s="707" t="s">
        <v>688</v>
      </c>
      <c r="E88" s="708" t="s">
        <v>851</v>
      </c>
      <c r="F88" s="134" t="s">
        <v>794</v>
      </c>
      <c r="G88" s="726"/>
      <c r="H88" s="710"/>
      <c r="I88" s="726"/>
      <c r="J88" s="710"/>
      <c r="K88" s="420"/>
    </row>
    <row r="89" s="42" customFormat="true" ht="11.25" hidden="true" customHeight="true" outlineLevel="0" collapsed="false">
      <c r="A89" s="694"/>
      <c r="B89" s="47"/>
      <c r="D89" s="707" t="s">
        <v>731</v>
      </c>
      <c r="E89" s="708" t="s">
        <v>852</v>
      </c>
      <c r="F89" s="134" t="s">
        <v>794</v>
      </c>
      <c r="G89" s="726"/>
      <c r="H89" s="710"/>
      <c r="I89" s="726"/>
      <c r="J89" s="710"/>
      <c r="K89" s="420"/>
    </row>
    <row r="90" s="42" customFormat="true" ht="11.25" hidden="true" customHeight="true" outlineLevel="0" collapsed="false">
      <c r="A90" s="694"/>
      <c r="B90" s="47"/>
      <c r="D90" s="707" t="s">
        <v>734</v>
      </c>
      <c r="E90" s="708" t="s">
        <v>853</v>
      </c>
      <c r="F90" s="134" t="s">
        <v>794</v>
      </c>
      <c r="G90" s="726"/>
      <c r="H90" s="710"/>
      <c r="I90" s="726"/>
      <c r="J90" s="710"/>
      <c r="K90" s="420"/>
    </row>
    <row r="91" s="42" customFormat="true" ht="11.25" hidden="true" customHeight="true" outlineLevel="0" collapsed="false">
      <c r="A91" s="694"/>
      <c r="B91" s="47"/>
      <c r="D91" s="707" t="s">
        <v>812</v>
      </c>
      <c r="E91" s="708" t="s">
        <v>854</v>
      </c>
      <c r="F91" s="134" t="s">
        <v>794</v>
      </c>
      <c r="G91" s="726"/>
      <c r="H91" s="710"/>
      <c r="I91" s="726"/>
      <c r="J91" s="710"/>
      <c r="K91" s="420"/>
    </row>
    <row r="92" s="42" customFormat="true" ht="11.25" hidden="true" customHeight="true" outlineLevel="0" collapsed="false">
      <c r="A92" s="694"/>
      <c r="B92" s="47"/>
      <c r="D92" s="707" t="s">
        <v>814</v>
      </c>
      <c r="E92" s="708" t="s">
        <v>856</v>
      </c>
      <c r="F92" s="134" t="s">
        <v>794</v>
      </c>
      <c r="G92" s="726"/>
      <c r="H92" s="710"/>
      <c r="I92" s="726"/>
      <c r="J92" s="710"/>
      <c r="K92" s="420"/>
    </row>
    <row r="93" s="42" customFormat="true" ht="11.25" hidden="true" customHeight="true" outlineLevel="0" collapsed="false">
      <c r="A93" s="694"/>
      <c r="B93" s="47"/>
      <c r="D93" s="707" t="s">
        <v>863</v>
      </c>
      <c r="E93" s="708" t="s">
        <v>858</v>
      </c>
      <c r="F93" s="134" t="s">
        <v>794</v>
      </c>
      <c r="G93" s="726"/>
      <c r="H93" s="710"/>
      <c r="I93" s="726"/>
      <c r="J93" s="710"/>
      <c r="K93" s="420"/>
    </row>
    <row r="94" s="42" customFormat="true" ht="11.25" hidden="true" customHeight="true" outlineLevel="0" collapsed="false">
      <c r="A94" s="694"/>
      <c r="B94" s="47"/>
      <c r="D94" s="707" t="s">
        <v>864</v>
      </c>
      <c r="E94" s="708" t="s">
        <v>860</v>
      </c>
      <c r="F94" s="134" t="s">
        <v>794</v>
      </c>
      <c r="G94" s="726"/>
      <c r="H94" s="710"/>
      <c r="I94" s="726"/>
      <c r="J94" s="710"/>
      <c r="K94" s="420"/>
    </row>
    <row r="95" s="42" customFormat="true" ht="24.75" hidden="true" customHeight="true" outlineLevel="0" collapsed="false">
      <c r="A95" s="694"/>
      <c r="B95" s="47"/>
      <c r="D95" s="707" t="s">
        <v>118</v>
      </c>
      <c r="E95" s="717" t="s">
        <v>865</v>
      </c>
      <c r="F95" s="727" t="s">
        <v>579</v>
      </c>
      <c r="G95" s="725"/>
      <c r="H95" s="710"/>
      <c r="I95" s="725"/>
      <c r="J95" s="710"/>
      <c r="K95" s="420" t="s">
        <v>866</v>
      </c>
    </row>
    <row r="96" s="42" customFormat="true" ht="33.75" hidden="true" customHeight="true" outlineLevel="0" collapsed="false">
      <c r="A96" s="694"/>
      <c r="B96" s="47"/>
      <c r="D96" s="707" t="s">
        <v>88</v>
      </c>
      <c r="E96" s="717" t="s">
        <v>867</v>
      </c>
      <c r="F96" s="720" t="s">
        <v>755</v>
      </c>
      <c r="G96" s="728"/>
      <c r="H96" s="710"/>
      <c r="I96" s="728"/>
      <c r="J96" s="710"/>
      <c r="K96" s="420"/>
    </row>
    <row r="97" s="42" customFormat="true" ht="22.5" hidden="true" customHeight="true" outlineLevel="0" collapsed="false">
      <c r="A97" s="694"/>
      <c r="B97" s="47" t="s">
        <v>609</v>
      </c>
      <c r="D97" s="707" t="s">
        <v>89</v>
      </c>
      <c r="E97" s="717" t="s">
        <v>868</v>
      </c>
      <c r="F97" s="720" t="s">
        <v>322</v>
      </c>
      <c r="G97" s="729"/>
      <c r="H97" s="710"/>
      <c r="I97" s="729"/>
      <c r="J97" s="710"/>
      <c r="K97" s="420" t="s">
        <v>827</v>
      </c>
    </row>
    <row r="98" s="42" customFormat="true" ht="45" hidden="true" customHeight="true" outlineLevel="0" collapsed="false">
      <c r="A98" s="694"/>
      <c r="B98" s="47" t="s">
        <v>609</v>
      </c>
      <c r="D98" s="707" t="s">
        <v>869</v>
      </c>
      <c r="E98" s="715" t="s">
        <v>870</v>
      </c>
      <c r="F98" s="719" t="s">
        <v>322</v>
      </c>
      <c r="G98" s="729"/>
      <c r="H98" s="710"/>
      <c r="I98" s="729"/>
      <c r="J98" s="710"/>
      <c r="K98" s="420" t="s">
        <v>827</v>
      </c>
    </row>
    <row r="99" s="42" customFormat="true" ht="95.25" hidden="true" customHeight="true" outlineLevel="0" collapsed="false">
      <c r="A99" s="694"/>
      <c r="B99" s="47" t="s">
        <v>609</v>
      </c>
      <c r="D99" s="707" t="s">
        <v>119</v>
      </c>
      <c r="E99" s="717" t="s">
        <v>871</v>
      </c>
      <c r="F99" s="719" t="s">
        <v>322</v>
      </c>
      <c r="G99" s="729"/>
      <c r="H99" s="710"/>
      <c r="I99" s="729"/>
      <c r="J99" s="710"/>
      <c r="K99" s="420" t="s">
        <v>827</v>
      </c>
    </row>
    <row r="100" s="42" customFormat="true" ht="22.5" hidden="true" customHeight="true" outlineLevel="0" collapsed="false">
      <c r="A100" s="694"/>
      <c r="B100" s="47" t="s">
        <v>609</v>
      </c>
      <c r="D100" s="707" t="s">
        <v>155</v>
      </c>
      <c r="E100" s="717" t="s">
        <v>872</v>
      </c>
      <c r="F100" s="719" t="s">
        <v>322</v>
      </c>
      <c r="G100" s="729"/>
      <c r="H100" s="710"/>
      <c r="I100" s="729"/>
      <c r="J100" s="710"/>
      <c r="K100" s="420" t="s">
        <v>827</v>
      </c>
    </row>
    <row r="101" s="42" customFormat="true" ht="11.25" hidden="false" customHeight="true" outlineLevel="0" collapsed="false">
      <c r="A101" s="657"/>
      <c r="B101" s="47"/>
      <c r="D101" s="344"/>
      <c r="E101" s="701"/>
    </row>
  </sheetData>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H21:H22 J21:J22 H24 J24 H26:H27 J26:J27 H29:H30 J29:J3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G18 I18 G26:G27 I26:I27 G29:G30 I29:I30 G32 I32 G37 I37 G39:G40 I39:I40 G44:G59 I44:I59 G61 I61 G65 I65 G67:G68 I67:I68 G71 I71 G73 I73 G77:G94 I77:I94 G96 I9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3:H14 J13:J14 H19 J19 H31:H32 J31:J32 G62:G63 I62:I63 G74:G75 I74:I75 G97:G100 I97:I100" type="textLength">
      <formula1>900</formula1>
      <formula2>0</formula2>
    </dataValidation>
    <dataValidation allowBlank="true" error="Введите значение от 0 до 100%" errorStyle="stop" errorTitle="Ошибка" operator="between" showDropDown="false" showErrorMessage="true" showInputMessage="false" sqref="G31 I31 G42:G43 I42:I43 G60 I60 G69:G70 I69:I70 G72 I72 G95 I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U3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5" zeroHeight="false" outlineLevelRow="0" outlineLevelCol="0"/>
  <cols>
    <col collapsed="false" customWidth="true" hidden="true" outlineLevel="0" max="1" min="1" style="45" width="9.14"/>
    <col collapsed="false" customWidth="true" hidden="true" outlineLevel="0" max="2" min="2" style="42" width="9.14"/>
    <col collapsed="false" customWidth="true" hidden="false" outlineLevel="0" max="3" min="3" style="137" width="4.71"/>
    <col collapsed="false" customWidth="true" hidden="false" outlineLevel="0" max="4" min="4" style="42" width="6.28"/>
    <col collapsed="false" customWidth="true" hidden="false" outlineLevel="0" max="5" min="5" style="42" width="36.71"/>
    <col collapsed="false" customWidth="true" hidden="false" outlineLevel="0" max="6" min="6" style="42" width="9.57"/>
    <col collapsed="false" customWidth="true" hidden="true" outlineLevel="0" max="7" min="7" style="42" width="25.71"/>
    <col collapsed="false" customWidth="true" hidden="true" outlineLevel="0" max="8" min="8" style="42" width="33.71"/>
    <col collapsed="false" customWidth="true" hidden="false" outlineLevel="0" max="9" min="9" style="42" width="25.71"/>
    <col collapsed="false" customWidth="true" hidden="false" outlineLevel="0" max="10" min="10" style="42" width="33.71"/>
    <col collapsed="false" customWidth="true" hidden="false" outlineLevel="0" max="11" min="11" style="45" width="93.42"/>
    <col collapsed="false" customWidth="false" hidden="false" outlineLevel="0" max="20" min="12" style="42" width="10.57"/>
    <col collapsed="false" customWidth="false" hidden="false" outlineLevel="0" max="21" min="21" style="103" width="10.57"/>
  </cols>
  <sheetData>
    <row r="1" s="45" customFormat="true" ht="15" hidden="true" customHeight="true" outlineLevel="0" collapsed="false">
      <c r="C1" s="44"/>
      <c r="G1" s="45" t="n">
        <v>4</v>
      </c>
      <c r="I1" s="45" t="n">
        <v>4</v>
      </c>
      <c r="U1" s="154"/>
    </row>
    <row r="2" s="45" customFormat="true" ht="15" hidden="true" customHeight="true" outlineLevel="0" collapsed="false">
      <c r="C2" s="44"/>
      <c r="U2" s="154"/>
    </row>
    <row r="3" customFormat="false" ht="22.5" hidden="true" customHeight="true" outlineLevel="0" collapsed="false">
      <c r="A3" s="42"/>
      <c r="B3" s="50"/>
      <c r="C3" s="730" t="s">
        <v>100</v>
      </c>
      <c r="D3" s="731" t="str">
        <f aca="false">B3&amp;".1"</f>
        <v>.1</v>
      </c>
      <c r="E3" s="205" t="s">
        <v>873</v>
      </c>
      <c r="F3" s="501" t="s">
        <v>322</v>
      </c>
      <c r="G3" s="700"/>
      <c r="H3" s="639"/>
      <c r="I3" s="700"/>
      <c r="J3" s="639"/>
      <c r="K3" s="420" t="s">
        <v>874</v>
      </c>
    </row>
    <row r="4" customFormat="false" ht="15" hidden="true" customHeight="true" outlineLevel="0" collapsed="false">
      <c r="A4" s="42"/>
      <c r="B4" s="50"/>
      <c r="C4" s="730"/>
      <c r="D4" s="731" t="str">
        <f aca="false">B3&amp;".2"</f>
        <v>.2</v>
      </c>
      <c r="E4" s="205" t="s">
        <v>875</v>
      </c>
      <c r="F4" s="501" t="s">
        <v>322</v>
      </c>
      <c r="G4" s="732"/>
      <c r="H4" s="639"/>
      <c r="I4" s="732"/>
      <c r="J4" s="639"/>
      <c r="K4" s="420" t="s">
        <v>876</v>
      </c>
    </row>
    <row r="5" s="45" customFormat="true" ht="15" hidden="true" customHeight="true" outlineLevel="0" collapsed="false">
      <c r="C5" s="44"/>
      <c r="U5" s="154"/>
    </row>
    <row r="6" customFormat="false" ht="22.5" hidden="true" customHeight="true" outlineLevel="0" collapsed="false">
      <c r="A6" s="42"/>
      <c r="B6" s="50"/>
      <c r="C6" s="730" t="s">
        <v>100</v>
      </c>
      <c r="D6" s="731" t="str">
        <f aca="false">B6&amp;".1"</f>
        <v>.1</v>
      </c>
      <c r="E6" s="205" t="s">
        <v>877</v>
      </c>
      <c r="F6" s="501" t="s">
        <v>322</v>
      </c>
      <c r="G6" s="700"/>
      <c r="H6" s="639"/>
      <c r="I6" s="700"/>
      <c r="J6" s="639"/>
      <c r="K6" s="420" t="s">
        <v>878</v>
      </c>
    </row>
    <row r="7" customFormat="false" ht="15" hidden="true" customHeight="true" outlineLevel="0" collapsed="false">
      <c r="A7" s="42"/>
      <c r="B7" s="50"/>
      <c r="C7" s="730"/>
      <c r="D7" s="731" t="str">
        <f aca="false">B6&amp;".2"</f>
        <v>.2</v>
      </c>
      <c r="E7" s="205" t="s">
        <v>875</v>
      </c>
      <c r="F7" s="501" t="s">
        <v>322</v>
      </c>
      <c r="G7" s="732"/>
      <c r="H7" s="639"/>
      <c r="I7" s="732"/>
      <c r="J7" s="639"/>
      <c r="K7" s="420" t="s">
        <v>876</v>
      </c>
    </row>
    <row r="8" s="45" customFormat="true" ht="15" hidden="true" customHeight="true" outlineLevel="0" collapsed="false">
      <c r="C8" s="44"/>
      <c r="U8" s="154"/>
    </row>
    <row r="9" customFormat="false" ht="22.5" hidden="true" customHeight="true" outlineLevel="0" collapsed="false">
      <c r="A9" s="42"/>
      <c r="B9" s="50"/>
      <c r="C9" s="730" t="s">
        <v>100</v>
      </c>
      <c r="D9" s="731" t="str">
        <f aca="false">B9&amp;".1"</f>
        <v>.1</v>
      </c>
      <c r="E9" s="205" t="s">
        <v>879</v>
      </c>
      <c r="F9" s="501" t="s">
        <v>322</v>
      </c>
      <c r="G9" s="335"/>
      <c r="H9" s="639"/>
      <c r="I9" s="335"/>
      <c r="J9" s="639"/>
      <c r="K9" s="420"/>
    </row>
    <row r="10" customFormat="false" ht="15" hidden="true" customHeight="true" outlineLevel="0" collapsed="false">
      <c r="A10" s="42"/>
      <c r="B10" s="50"/>
      <c r="C10" s="730"/>
      <c r="D10" s="731" t="str">
        <f aca="false">B9&amp;".2"</f>
        <v>.2</v>
      </c>
      <c r="E10" s="205" t="s">
        <v>880</v>
      </c>
      <c r="F10" s="501" t="s">
        <v>322</v>
      </c>
      <c r="G10" s="77"/>
      <c r="H10" s="639"/>
      <c r="I10" s="77"/>
      <c r="J10" s="639"/>
      <c r="K10" s="420" t="s">
        <v>881</v>
      </c>
    </row>
    <row r="11" customFormat="false" ht="15" hidden="true" customHeight="true" outlineLevel="0" collapsed="false">
      <c r="A11" s="42"/>
      <c r="B11" s="50"/>
      <c r="C11" s="730"/>
      <c r="D11" s="731" t="str">
        <f aca="false">B9&amp;".3"</f>
        <v>.3</v>
      </c>
      <c r="E11" s="205" t="s">
        <v>882</v>
      </c>
      <c r="F11" s="501" t="s">
        <v>322</v>
      </c>
      <c r="G11" s="77"/>
      <c r="H11" s="639"/>
      <c r="I11" s="77"/>
      <c r="J11" s="639"/>
      <c r="K11" s="420" t="s">
        <v>883</v>
      </c>
    </row>
    <row r="12" s="45" customFormat="true" ht="15" hidden="true" customHeight="true" outlineLevel="0" collapsed="false">
      <c r="C12" s="44"/>
      <c r="U12" s="154"/>
    </row>
    <row r="13" customFormat="false" ht="33.75" hidden="true" customHeight="true" outlineLevel="0" collapsed="false">
      <c r="A13" s="42"/>
      <c r="B13" s="50"/>
      <c r="C13" s="730" t="s">
        <v>100</v>
      </c>
      <c r="D13" s="731" t="str">
        <f aca="false">B13&amp;".1"</f>
        <v>.1</v>
      </c>
      <c r="E13" s="205" t="s">
        <v>884</v>
      </c>
      <c r="F13" s="501" t="s">
        <v>322</v>
      </c>
      <c r="G13" s="335"/>
      <c r="H13" s="639"/>
      <c r="I13" s="335"/>
      <c r="J13" s="639"/>
      <c r="K13" s="420" t="s">
        <v>885</v>
      </c>
    </row>
    <row r="14" customFormat="false" ht="15" hidden="true" customHeight="true" outlineLevel="0" collapsed="false">
      <c r="B14" s="50"/>
      <c r="C14" s="730"/>
      <c r="D14" s="731" t="str">
        <f aca="false">B13&amp;".2"</f>
        <v>.2</v>
      </c>
      <c r="E14" s="205" t="s">
        <v>886</v>
      </c>
      <c r="F14" s="501" t="s">
        <v>322</v>
      </c>
      <c r="G14" s="77"/>
      <c r="H14" s="639"/>
      <c r="I14" s="77"/>
      <c r="J14" s="639"/>
      <c r="K14" s="420" t="s">
        <v>887</v>
      </c>
    </row>
    <row r="15" s="45" customFormat="true" ht="15" hidden="true" customHeight="true" outlineLevel="0" collapsed="false">
      <c r="C15" s="44"/>
      <c r="U15" s="154"/>
    </row>
    <row r="16" s="45" customFormat="true" ht="15" hidden="true" customHeight="true" outlineLevel="0" collapsed="false">
      <c r="C16" s="44"/>
      <c r="U16" s="154"/>
    </row>
    <row r="17" s="45" customFormat="true" ht="15" hidden="true" customHeight="true" outlineLevel="0" collapsed="false">
      <c r="C17" s="44"/>
      <c r="U17" s="154"/>
    </row>
    <row r="18" s="45" customFormat="true" ht="15" hidden="true" customHeight="true" outlineLevel="0" collapsed="false">
      <c r="C18" s="44"/>
      <c r="U18" s="154"/>
    </row>
    <row r="19" s="45" customFormat="true" ht="15" hidden="true" customHeight="true" outlineLevel="0" collapsed="false">
      <c r="C19" s="44"/>
      <c r="U19" s="154"/>
    </row>
    <row r="20" s="45" customFormat="true" ht="15" hidden="true" customHeight="true" outlineLevel="0" collapsed="false">
      <c r="C20" s="44"/>
      <c r="U20" s="154"/>
    </row>
    <row r="22" customFormat="false" ht="22.5" hidden="false" customHeight="true" outlineLevel="0" collapsed="false">
      <c r="D22" s="389"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89"/>
      <c r="F22" s="389"/>
      <c r="G22" s="389"/>
      <c r="H22" s="389"/>
      <c r="I22" s="389"/>
      <c r="J22" s="75"/>
    </row>
    <row r="23" customFormat="false" ht="15" hidden="false" customHeight="true" outlineLevel="0" collapsed="false">
      <c r="D23" s="265" t="str">
        <f aca="false">IF(org=0,"Не определено",org)</f>
        <v>ООО "Газпром теплоэнерго Ярославль"</v>
      </c>
      <c r="E23" s="265"/>
      <c r="F23" s="265"/>
      <c r="G23" s="265"/>
      <c r="H23" s="265"/>
      <c r="I23" s="265"/>
      <c r="J23" s="75"/>
    </row>
    <row r="24" customFormat="false" ht="15" hidden="false" customHeight="true" outlineLevel="0" collapsed="false">
      <c r="G24" s="45" t="n">
        <v>22</v>
      </c>
      <c r="H24" s="296"/>
      <c r="I24" s="45" t="n">
        <v>22</v>
      </c>
      <c r="J24" s="296"/>
    </row>
    <row r="25" s="42" customFormat="true" ht="0.75" hidden="false" customHeight="true" outlineLevel="0" collapsed="false">
      <c r="A25" s="45"/>
      <c r="C25" s="137"/>
      <c r="G25" s="45"/>
      <c r="H25" s="296"/>
      <c r="I25" s="45" t="s">
        <v>124</v>
      </c>
      <c r="J25" s="296"/>
      <c r="K25" s="45"/>
      <c r="U25" s="103"/>
    </row>
    <row r="26" customFormat="false" ht="15" hidden="false" customHeight="true" outlineLevel="0" collapsed="false">
      <c r="D26" s="604"/>
      <c r="E26" s="605" t="s">
        <v>113</v>
      </c>
      <c r="F26" s="605"/>
      <c r="G26" s="733" t="str">
        <f aca="false">IF(G25="","",INDEX(DIFFERENTIATION_UNMERGE_VD,MATCH(G25,DIFFERENTIATION_ID_DIFF,0)))</f>
        <v/>
      </c>
      <c r="H26" s="733"/>
      <c r="I26" s="733" t="n">
        <f aca="false">IF(I25="","",INDEX(DIFFERENTIATION_UNMERGE_VD,MATCH(I25,DIFFERENTIATION_ID_DIFF,0)))</f>
        <v>0</v>
      </c>
      <c r="J26" s="733"/>
      <c r="K26" s="133" t="s">
        <v>317</v>
      </c>
    </row>
    <row r="27" s="42" customFormat="true" ht="15" hidden="false" customHeight="true" outlineLevel="0" collapsed="false">
      <c r="A27" s="45"/>
      <c r="C27" s="137"/>
      <c r="D27" s="604"/>
      <c r="E27" s="605" t="s">
        <v>585</v>
      </c>
      <c r="F27" s="605"/>
      <c r="G27" s="733" t="str">
        <f aca="false">IF(G25="","",INDEX(DIFFERENTIATION_UNMERGE_AREA,MATCH(G25,DIFFERENTIATION_ID_DIFF,0)))</f>
        <v/>
      </c>
      <c r="H27" s="733"/>
      <c r="I27" s="733" t="str">
        <f aca="false">IF(I25="","",INDEX(DIFFERENTIATION_UNMERGE_AREA,MATCH(I25,DIFFERENTIATION_ID_DIFF,0)))</f>
        <v/>
      </c>
      <c r="J27" s="733"/>
      <c r="K27" s="133"/>
      <c r="U27" s="103"/>
    </row>
    <row r="28" s="42" customFormat="true" ht="15" hidden="false" customHeight="true" outlineLevel="0" collapsed="false">
      <c r="A28" s="45"/>
      <c r="C28" s="137"/>
      <c r="D28" s="604"/>
      <c r="E28" s="605" t="s">
        <v>586</v>
      </c>
      <c r="F28" s="605"/>
      <c r="G28" s="733" t="str">
        <f aca="false">IF(G25="","",INDEX(DIFFERENTIATION_UNMERGE_SYSTEM,MATCH(G25,DIFFERENTIATION_ID_DIFF,0)))</f>
        <v/>
      </c>
      <c r="H28" s="733"/>
      <c r="I28" s="733" t="str">
        <f aca="false">IF(I25="","",INDEX(DIFFERENTIATION_UNMERGE_SYSTEM,MATCH(I25,DIFFERENTIATION_ID_DIFF,0)))</f>
        <v>без дифференциации</v>
      </c>
      <c r="J28" s="733"/>
      <c r="K28" s="133"/>
      <c r="U28" s="103"/>
    </row>
    <row r="29" s="42" customFormat="true" ht="15" hidden="false" customHeight="true" outlineLevel="0" collapsed="false">
      <c r="A29" s="45"/>
      <c r="C29" s="137"/>
      <c r="D29" s="607" t="s">
        <v>316</v>
      </c>
      <c r="E29" s="607"/>
      <c r="F29" s="607"/>
      <c r="G29" s="608"/>
      <c r="H29" s="608"/>
      <c r="I29" s="608"/>
      <c r="J29" s="605"/>
      <c r="K29" s="133"/>
      <c r="U29" s="103"/>
    </row>
    <row r="30" customFormat="false" ht="33.75" hidden="false" customHeight="true" outlineLevel="0" collapsed="false">
      <c r="D30" s="145" t="s">
        <v>84</v>
      </c>
      <c r="E30" s="133" t="s">
        <v>318</v>
      </c>
      <c r="F30" s="145" t="s">
        <v>587</v>
      </c>
      <c r="G30" s="269" t="s">
        <v>319</v>
      </c>
      <c r="H30" s="145" t="s">
        <v>406</v>
      </c>
      <c r="I30" s="269" t="s">
        <v>319</v>
      </c>
      <c r="J30" s="145" t="s">
        <v>406</v>
      </c>
      <c r="K30" s="133"/>
    </row>
    <row r="31" customFormat="false" ht="15" hidden="true" customHeight="true" outlineLevel="0" collapsed="false">
      <c r="D31" s="188"/>
      <c r="E31" s="188"/>
      <c r="F31" s="188"/>
      <c r="G31" s="137"/>
      <c r="H31" s="137"/>
      <c r="I31" s="137"/>
      <c r="J31" s="137"/>
      <c r="K31" s="420"/>
    </row>
    <row r="32" customFormat="false" ht="22.5" hidden="false" customHeight="true" outlineLevel="0" collapsed="false">
      <c r="A32" s="42"/>
      <c r="B32" s="42" t="s">
        <v>888</v>
      </c>
      <c r="C32" s="116"/>
      <c r="D32" s="734" t="n">
        <v>1</v>
      </c>
      <c r="E32" s="691" t="s">
        <v>889</v>
      </c>
      <c r="F32" s="501" t="s">
        <v>322</v>
      </c>
      <c r="G32" s="501" t="s">
        <v>322</v>
      </c>
      <c r="H32" s="501" t="s">
        <v>322</v>
      </c>
      <c r="I32" s="501" t="s">
        <v>322</v>
      </c>
      <c r="J32" s="501" t="s">
        <v>322</v>
      </c>
      <c r="K32" s="420"/>
    </row>
    <row r="33" customFormat="false" ht="11.25" hidden="false" customHeight="true" outlineLevel="0" collapsed="false">
      <c r="A33" s="42"/>
      <c r="C33" s="42"/>
      <c r="D33" s="735"/>
      <c r="E33" s="160" t="s">
        <v>607</v>
      </c>
      <c r="F33" s="624"/>
      <c r="G33" s="624"/>
      <c r="H33" s="624"/>
      <c r="I33" s="624"/>
      <c r="J33" s="624"/>
      <c r="K33" s="625"/>
      <c r="U33" s="42"/>
    </row>
    <row r="34" customFormat="false" ht="22.5" hidden="false" customHeight="true" outlineLevel="0" collapsed="false">
      <c r="A34" s="42"/>
      <c r="B34" s="75" t="s">
        <v>890</v>
      </c>
      <c r="C34" s="116"/>
      <c r="D34" s="734" t="n">
        <v>2</v>
      </c>
      <c r="E34" s="691" t="s">
        <v>891</v>
      </c>
      <c r="F34" s="501" t="s">
        <v>322</v>
      </c>
      <c r="G34" s="501" t="s">
        <v>322</v>
      </c>
      <c r="H34" s="501" t="s">
        <v>322</v>
      </c>
      <c r="I34" s="501"/>
      <c r="J34" s="501"/>
      <c r="K34" s="420"/>
    </row>
    <row r="35" customFormat="false" ht="11.25" hidden="false" customHeight="true" outlineLevel="0" collapsed="false">
      <c r="A35" s="42"/>
      <c r="C35" s="42"/>
      <c r="D35" s="735"/>
      <c r="E35" s="160" t="s">
        <v>892</v>
      </c>
      <c r="F35" s="624"/>
      <c r="G35" s="736"/>
      <c r="H35" s="624"/>
      <c r="I35" s="736"/>
      <c r="J35" s="624"/>
      <c r="K35" s="625"/>
      <c r="U35" s="42"/>
    </row>
    <row r="36" customFormat="false" ht="67.5" hidden="false" customHeight="true" outlineLevel="0" collapsed="false">
      <c r="A36" s="42"/>
      <c r="B36" s="42" t="s">
        <v>893</v>
      </c>
      <c r="C36" s="116"/>
      <c r="D36" s="734" t="n">
        <v>3</v>
      </c>
      <c r="E36" s="691" t="s">
        <v>894</v>
      </c>
      <c r="F36" s="737" t="s">
        <v>322</v>
      </c>
      <c r="G36" s="203" t="s">
        <v>895</v>
      </c>
      <c r="H36" s="501" t="s">
        <v>322</v>
      </c>
      <c r="I36" s="203" t="s">
        <v>895</v>
      </c>
      <c r="J36" s="501" t="s">
        <v>322</v>
      </c>
      <c r="K36" s="420" t="s">
        <v>896</v>
      </c>
    </row>
    <row r="37" customFormat="false" ht="11.25" hidden="false" customHeight="true" outlineLevel="0" collapsed="false">
      <c r="A37" s="42"/>
      <c r="C37" s="42"/>
      <c r="D37" s="735"/>
      <c r="E37" s="160" t="s">
        <v>897</v>
      </c>
      <c r="F37" s="624"/>
      <c r="G37" s="736"/>
      <c r="H37" s="736"/>
      <c r="I37" s="736"/>
      <c r="J37" s="736"/>
      <c r="K37" s="625"/>
      <c r="U37" s="42"/>
    </row>
    <row r="38" customFormat="false" ht="67.5" hidden="false" customHeight="true" outlineLevel="0" collapsed="false">
      <c r="A38" s="42"/>
      <c r="B38" s="42" t="s">
        <v>898</v>
      </c>
      <c r="C38" s="116"/>
      <c r="D38" s="734" t="n">
        <v>4</v>
      </c>
      <c r="E38" s="691" t="s">
        <v>899</v>
      </c>
      <c r="F38" s="737" t="s">
        <v>322</v>
      </c>
      <c r="G38" s="203" t="s">
        <v>895</v>
      </c>
      <c r="H38" s="145" t="s">
        <v>322</v>
      </c>
      <c r="I38" s="203" t="s">
        <v>895</v>
      </c>
      <c r="J38" s="145" t="s">
        <v>322</v>
      </c>
      <c r="K38" s="738" t="s">
        <v>900</v>
      </c>
    </row>
    <row r="39" customFormat="false" ht="11.25" hidden="false" customHeight="true" outlineLevel="0" collapsed="false">
      <c r="A39" s="42"/>
      <c r="C39" s="42"/>
      <c r="D39" s="735"/>
      <c r="E39" s="160" t="s">
        <v>901</v>
      </c>
      <c r="F39" s="624"/>
      <c r="G39" s="624"/>
      <c r="H39" s="739"/>
      <c r="I39" s="624"/>
      <c r="J39" s="739"/>
      <c r="K39" s="625"/>
      <c r="U39" s="42"/>
    </row>
  </sheetData>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G7 I7 G10:G11 I10:I11 G14 I14" type="none">
      <formula1>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G3 I3 G6 I6 G9 I9 G13 I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H4 J3:J4 H6:H7 J6:J7 H9:H11 J9:J11 H13:H14 J13:J14" type="textLength">
      <formula1>900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G38 I38"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D1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4453125" defaultRowHeight="10.5" zeroHeight="false" outlineLevelRow="0" outlineLevelCol="0"/>
  <cols>
    <col collapsed="false" customWidth="true" hidden="true" outlineLevel="0" max="3" min="1" style="657" width="6.71"/>
    <col collapsed="false" customWidth="true" hidden="true" outlineLevel="0" max="4" min="4" style="45" width="6.71"/>
    <col collapsed="false" customWidth="true" hidden="false" outlineLevel="0" max="5" min="5" style="42" width="3.71"/>
    <col collapsed="false" customWidth="true" hidden="false" outlineLevel="0" max="6" min="6" style="42" width="6.28"/>
    <col collapsed="false" customWidth="true" hidden="false" outlineLevel="0" max="7" min="7" style="42" width="37.71"/>
    <col collapsed="false" customWidth="true" hidden="false" outlineLevel="0" max="8" min="8" style="42" width="16.57"/>
    <col collapsed="false" customWidth="true" hidden="false" outlineLevel="0" max="10" min="9" style="42" width="19.71"/>
    <col collapsed="false" customWidth="true" hidden="false" outlineLevel="0" max="11" min="11" style="42" width="25"/>
    <col collapsed="false" customWidth="true" hidden="false" outlineLevel="0" max="13" min="12" style="42" width="25.71"/>
    <col collapsed="false" customWidth="true" hidden="false" outlineLevel="0" max="16" min="14" style="42" width="17.71"/>
    <col collapsed="false" customWidth="true" hidden="false" outlineLevel="0" max="24" min="17" style="42" width="19.71"/>
    <col collapsed="false" customWidth="true" hidden="false" outlineLevel="0" max="25" min="25" style="42" width="8"/>
    <col collapsed="false" customWidth="true" hidden="false" outlineLevel="0" max="26" min="26" style="42" width="3.28"/>
    <col collapsed="false" customWidth="true" hidden="false" outlineLevel="0" max="27" min="27" style="42" width="6.28"/>
    <col collapsed="false" customWidth="true" hidden="false" outlineLevel="0" max="28" min="28" style="42" width="34.14"/>
    <col collapsed="false" customWidth="false" hidden="false" outlineLevel="0" max="30" min="29" style="42" width="9.14"/>
  </cols>
  <sheetData>
    <row r="1" s="45" customFormat="true" ht="10.5" hidden="true" customHeight="true" outlineLevel="0" collapsed="false">
      <c r="A1" s="657"/>
      <c r="B1" s="657"/>
      <c r="C1" s="657"/>
    </row>
    <row r="2" customFormat="false" ht="10.5" hidden="true" customHeight="true" outlineLevel="0" collapsed="false"/>
    <row r="3" s="45" customFormat="true" ht="10.5" hidden="true" customHeight="true" outlineLevel="0" collapsed="false">
      <c r="A3" s="657"/>
      <c r="B3" s="657"/>
      <c r="C3" s="657"/>
    </row>
    <row r="4" customFormat="false" ht="3" hidden="false" customHeight="true" outlineLevel="0" collapsed="false"/>
    <row r="5" customFormat="false" ht="25.5" hidden="false" customHeight="true" outlineLevel="0" collapsed="false">
      <c r="F5" s="389" t="str">
        <f aca="false">IP_NAME_FORM</f>
        <v>Форма 7. Информация об инвестиционных программах организации горячего водоснабжения и отчетах об их исполнении</v>
      </c>
      <c r="G5" s="389"/>
      <c r="H5" s="389"/>
      <c r="I5" s="389"/>
      <c r="J5" s="389"/>
      <c r="K5" s="389"/>
      <c r="M5" s="95"/>
    </row>
    <row r="6" s="42" customFormat="true" ht="15.75" hidden="false" customHeight="true" outlineLevel="0" collapsed="false">
      <c r="A6" s="657"/>
      <c r="B6" s="657"/>
      <c r="C6" s="657"/>
      <c r="D6" s="45"/>
      <c r="F6" s="265" t="str">
        <f aca="false">IF(org=0,"Не определено",org)</f>
        <v>ООО "Газпром теплоэнерго Ярославль"</v>
      </c>
      <c r="G6" s="265"/>
      <c r="H6" s="265"/>
      <c r="I6" s="265"/>
      <c r="J6" s="265"/>
      <c r="K6" s="265"/>
      <c r="M6" s="95"/>
    </row>
    <row r="8" customFormat="false" ht="10.5" hidden="false" customHeight="true" outlineLevel="0" collapsed="false">
      <c r="F8" s="133" t="s">
        <v>316</v>
      </c>
      <c r="G8" s="133"/>
      <c r="H8" s="133"/>
      <c r="I8" s="133"/>
      <c r="J8" s="133"/>
      <c r="K8" s="133"/>
      <c r="L8" s="133"/>
      <c r="M8" s="133"/>
      <c r="N8" s="133"/>
      <c r="O8" s="133"/>
      <c r="P8" s="133"/>
      <c r="Q8" s="133"/>
      <c r="R8" s="133"/>
      <c r="S8" s="133"/>
      <c r="T8" s="133"/>
      <c r="U8" s="133"/>
      <c r="V8" s="133"/>
      <c r="W8" s="133"/>
      <c r="X8" s="133"/>
      <c r="Y8" s="133"/>
      <c r="Z8" s="133"/>
      <c r="AA8" s="133"/>
      <c r="AB8" s="133"/>
    </row>
    <row r="9" customFormat="false" ht="41.25" hidden="false" customHeight="true" outlineLevel="0" collapsed="false">
      <c r="A9" s="740"/>
      <c r="B9" s="740"/>
      <c r="C9" s="740"/>
      <c r="F9" s="266" t="s">
        <v>84</v>
      </c>
      <c r="G9" s="266" t="s">
        <v>902</v>
      </c>
      <c r="H9" s="133" t="s">
        <v>903</v>
      </c>
      <c r="I9" s="266" t="s">
        <v>904</v>
      </c>
      <c r="J9" s="266" t="s">
        <v>905</v>
      </c>
      <c r="K9" s="266" t="s">
        <v>906</v>
      </c>
      <c r="L9" s="266" t="s">
        <v>907</v>
      </c>
      <c r="M9" s="266" t="s">
        <v>908</v>
      </c>
      <c r="N9" s="394" t="s">
        <v>909</v>
      </c>
      <c r="O9" s="394"/>
      <c r="P9" s="394"/>
      <c r="Q9" s="300" t="s">
        <v>910</v>
      </c>
      <c r="R9" s="300"/>
      <c r="S9" s="300"/>
      <c r="T9" s="300"/>
      <c r="U9" s="300" t="s">
        <v>911</v>
      </c>
      <c r="V9" s="300"/>
      <c r="W9" s="300"/>
      <c r="X9" s="300"/>
      <c r="Y9" s="133" t="s">
        <v>912</v>
      </c>
      <c r="Z9" s="133"/>
      <c r="AA9" s="133"/>
      <c r="AB9" s="133"/>
    </row>
    <row r="10" customFormat="false" ht="41.25" hidden="false" customHeight="true" outlineLevel="0" collapsed="false">
      <c r="A10" s="740"/>
      <c r="B10" s="740"/>
      <c r="C10" s="740"/>
      <c r="F10" s="266"/>
      <c r="G10" s="266"/>
      <c r="H10" s="133"/>
      <c r="I10" s="266"/>
      <c r="J10" s="266"/>
      <c r="K10" s="266"/>
      <c r="L10" s="266"/>
      <c r="M10" s="266"/>
      <c r="N10" s="554" t="s">
        <v>913</v>
      </c>
      <c r="O10" s="554" t="s">
        <v>914</v>
      </c>
      <c r="P10" s="741" t="s">
        <v>915</v>
      </c>
      <c r="Q10" s="554" t="s">
        <v>85</v>
      </c>
      <c r="R10" s="554" t="s">
        <v>916</v>
      </c>
      <c r="S10" s="554" t="s">
        <v>917</v>
      </c>
      <c r="T10" s="742" t="s">
        <v>918</v>
      </c>
      <c r="U10" s="554" t="s">
        <v>85</v>
      </c>
      <c r="V10" s="554" t="s">
        <v>919</v>
      </c>
      <c r="W10" s="554" t="s">
        <v>917</v>
      </c>
      <c r="X10" s="742" t="s">
        <v>918</v>
      </c>
      <c r="Y10" s="478" t="s">
        <v>920</v>
      </c>
      <c r="Z10" s="133" t="s">
        <v>84</v>
      </c>
      <c r="AA10" s="133"/>
      <c r="AB10" s="145" t="s">
        <v>921</v>
      </c>
    </row>
    <row r="11" s="47" customFormat="true" ht="5.25" hidden="true" customHeight="true" outlineLevel="0" collapsed="false">
      <c r="A11" s="459"/>
      <c r="B11" s="459"/>
      <c r="C11" s="459"/>
      <c r="E11" s="120"/>
      <c r="F11" s="248" t="s">
        <v>392</v>
      </c>
      <c r="G11" s="743"/>
      <c r="H11" s="371"/>
      <c r="I11" s="371"/>
      <c r="J11" s="371"/>
      <c r="K11" s="396"/>
      <c r="L11" s="396"/>
      <c r="M11" s="396"/>
      <c r="N11" s="371"/>
      <c r="O11" s="371"/>
      <c r="P11" s="133"/>
      <c r="Q11" s="287"/>
      <c r="R11" s="287"/>
      <c r="S11" s="287"/>
      <c r="T11" s="371"/>
      <c r="U11" s="287"/>
      <c r="V11" s="287"/>
      <c r="W11" s="287"/>
      <c r="X11" s="371"/>
      <c r="Y11" s="197"/>
      <c r="Z11" s="197"/>
      <c r="AA11" s="197"/>
      <c r="AB11" s="197"/>
      <c r="AD11" s="47" t="s">
        <v>922</v>
      </c>
    </row>
    <row r="12" s="47" customFormat="true" ht="5.25" hidden="true" customHeight="true" outlineLevel="0" collapsed="false">
      <c r="A12" s="459"/>
      <c r="B12" s="459"/>
      <c r="C12" s="459"/>
      <c r="F12" s="248"/>
      <c r="G12" s="743"/>
      <c r="H12" s="371"/>
      <c r="I12" s="371"/>
      <c r="J12" s="371"/>
      <c r="K12" s="396"/>
      <c r="L12" s="396"/>
      <c r="M12" s="396"/>
      <c r="N12" s="371"/>
      <c r="O12" s="371"/>
      <c r="P12" s="133"/>
      <c r="Q12" s="287"/>
      <c r="R12" s="287"/>
      <c r="S12" s="287"/>
      <c r="T12" s="371"/>
      <c r="U12" s="287"/>
      <c r="V12" s="287"/>
      <c r="W12" s="287"/>
      <c r="X12" s="371"/>
      <c r="Y12" s="197"/>
      <c r="Z12" s="197"/>
      <c r="AA12" s="197"/>
      <c r="AB12" s="197"/>
    </row>
    <row r="13" customFormat="false" ht="10.5" hidden="false" customHeight="true" outlineLevel="0" collapsed="false">
      <c r="F13" s="535"/>
      <c r="G13" s="160" t="s">
        <v>923</v>
      </c>
      <c r="H13" s="160"/>
      <c r="I13" s="624"/>
      <c r="J13" s="624"/>
      <c r="K13" s="624"/>
      <c r="L13" s="624"/>
      <c r="M13" s="624"/>
      <c r="N13" s="624"/>
      <c r="O13" s="624"/>
      <c r="P13" s="624"/>
      <c r="Q13" s="624"/>
      <c r="R13" s="624"/>
      <c r="S13" s="624"/>
      <c r="T13" s="624"/>
      <c r="U13" s="624"/>
      <c r="V13" s="624"/>
      <c r="W13" s="624"/>
      <c r="X13" s="624"/>
      <c r="Y13" s="624"/>
      <c r="Z13" s="739"/>
      <c r="AA13" s="739"/>
      <c r="AB13" s="744"/>
    </row>
    <row r="15" s="47" customFormat="true" ht="10.5" hidden="false" customHeight="true" outlineLevel="0" collapsed="false">
      <c r="A15" s="459"/>
      <c r="B15" s="459"/>
      <c r="C15" s="459"/>
      <c r="H15" s="47" t="n">
        <f aca="false">_xlfn.iferror(MATCH("нет",IP_MAIN_DIFFERENTIATION_EVENTS_FLAG,0),0)</f>
        <v>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F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0.5" zeroHeight="false" outlineLevelRow="0" outlineLevelCol="0"/>
  <cols>
    <col collapsed="false" customWidth="true" hidden="true" outlineLevel="0" max="3" min="1" style="657" width="4.14"/>
    <col collapsed="false" customWidth="true" hidden="true" outlineLevel="0" max="4" min="4" style="45" width="4.14"/>
    <col collapsed="false" customWidth="true" hidden="false" outlineLevel="0" max="5" min="5" style="42" width="3.71"/>
    <col collapsed="false" customWidth="true" hidden="false" outlineLevel="0" max="6" min="6" style="42" width="14.42"/>
    <col collapsed="false" customWidth="true" hidden="false" outlineLevel="0" max="7" min="7" style="42" width="3.71"/>
    <col collapsed="false" customWidth="true" hidden="false" outlineLevel="0" max="8" min="8" style="42" width="7.71"/>
    <col collapsed="false" customWidth="true" hidden="false" outlineLevel="0" max="10" min="9" style="42" width="16.71"/>
    <col collapsed="false" customWidth="true" hidden="false" outlineLevel="0" max="11" min="11" style="42" width="25.71"/>
    <col collapsed="false" customWidth="true" hidden="false" outlineLevel="0" max="12" min="12" style="42" width="8"/>
    <col collapsed="false" customWidth="true" hidden="false" outlineLevel="0" max="13" min="13" style="42" width="15.57"/>
    <col collapsed="false" customWidth="true" hidden="false" outlineLevel="0" max="14" min="14" style="42" width="3.28"/>
    <col collapsed="false" customWidth="true" hidden="false" outlineLevel="0" max="15" min="15" style="42" width="4.71"/>
    <col collapsed="false" customWidth="true" hidden="false" outlineLevel="0" max="16" min="16" style="42" width="9"/>
    <col collapsed="false" customWidth="true" hidden="false" outlineLevel="0" max="17" min="17" style="42" width="21.71"/>
    <col collapsed="false" customWidth="true" hidden="false" outlineLevel="0" max="18" min="18" style="42" width="14.71"/>
    <col collapsed="false" customWidth="true" hidden="false" outlineLevel="0" max="20" min="19" style="42" width="17.71"/>
    <col collapsed="false" customWidth="true" hidden="false" outlineLevel="0" max="21" min="21" style="42" width="9.71"/>
    <col collapsed="false" customWidth="true" hidden="false" outlineLevel="0" max="22" min="22" style="42" width="12.71"/>
    <col collapsed="false" customWidth="true" hidden="false" outlineLevel="0" max="23" min="23" style="42" width="9.71"/>
    <col collapsed="false" customWidth="true" hidden="false" outlineLevel="0" max="24" min="24" style="42" width="21.71"/>
    <col collapsed="false" customWidth="true" hidden="false" outlineLevel="0" max="25" min="25" style="42" width="12.71"/>
    <col collapsed="false" customWidth="true" hidden="false" outlineLevel="0" max="26" min="26" style="42" width="3.28"/>
    <col collapsed="false" customWidth="true" hidden="false" outlineLevel="0" max="27" min="27" style="42" width="7.14"/>
    <col collapsed="false" customWidth="true" hidden="false" outlineLevel="0" max="28" min="28" style="42" width="38.42"/>
    <col collapsed="false" customWidth="true" hidden="false" outlineLevel="0" max="29" min="29" style="42" width="15.71"/>
    <col collapsed="false" customWidth="true" hidden="true" outlineLevel="0" max="30" min="30" style="42" width="37.57"/>
    <col collapsed="false" customWidth="true" hidden="true" outlineLevel="0" max="31" min="31" style="42" width="15.71"/>
    <col collapsed="false" customWidth="true" hidden="false" outlineLevel="0" max="34" min="32" style="42" width="16.71"/>
    <col collapsed="false" customWidth="true" hidden="true" outlineLevel="0" max="37" min="35" style="42" width="16.71"/>
    <col collapsed="false" customWidth="false" hidden="false" outlineLevel="0" max="58" min="38" style="42" width="9.14"/>
  </cols>
  <sheetData>
    <row r="1" s="45" customFormat="true" ht="10.5" hidden="true" customHeight="true" outlineLevel="0" collapsed="false">
      <c r="A1" s="657"/>
      <c r="B1" s="657"/>
      <c r="C1" s="657"/>
    </row>
    <row r="2" customFormat="false" ht="10.5" hidden="true" customHeight="true" outlineLevel="0" collapsed="false"/>
    <row r="3" s="45" customFormat="true" ht="10.5" hidden="true" customHeight="true" outlineLevel="0" collapsed="false">
      <c r="A3" s="657"/>
      <c r="B3" s="657"/>
      <c r="C3" s="657"/>
    </row>
    <row r="4" customFormat="false" ht="3" hidden="false" customHeight="true" outlineLevel="0" collapsed="false"/>
    <row r="5" customFormat="false" ht="25.5" hidden="false" customHeight="true" outlineLevel="0" collapsed="false">
      <c r="F5" s="389" t="str">
        <f aca="false">IP_NAME_FORM</f>
        <v>Форма 7. Информация об инвестиционных программах организации горячего водоснабжения и отчетах об их исполнении</v>
      </c>
      <c r="G5" s="389"/>
      <c r="H5" s="389"/>
      <c r="I5" s="389"/>
      <c r="J5" s="389"/>
      <c r="K5" s="389"/>
      <c r="L5" s="602"/>
      <c r="M5" s="602"/>
    </row>
    <row r="6" customFormat="false" ht="10.5" hidden="false" customHeight="true" outlineLevel="0" collapsed="false">
      <c r="F6" s="265" t="str">
        <f aca="false">IF(org=0,"Не определено",org)</f>
        <v>ООО "Газпром теплоэнерго Ярославль"</v>
      </c>
      <c r="G6" s="265"/>
      <c r="H6" s="265"/>
      <c r="I6" s="265"/>
      <c r="J6" s="265"/>
      <c r="K6" s="265"/>
      <c r="L6" s="602"/>
      <c r="M6" s="602"/>
    </row>
    <row r="7" customFormat="false" ht="11.25" hidden="false" customHeight="true" outlineLevel="0" collapsed="false">
      <c r="E7" s="79"/>
      <c r="F7" s="745"/>
      <c r="G7" s="745"/>
      <c r="H7" s="745"/>
      <c r="I7" s="745"/>
      <c r="J7" s="745"/>
      <c r="K7" s="746"/>
      <c r="L7" s="746"/>
      <c r="M7" s="746"/>
      <c r="N7" s="745"/>
      <c r="O7" s="745"/>
      <c r="P7" s="745"/>
      <c r="Q7" s="746"/>
      <c r="R7" s="745"/>
      <c r="S7" s="745"/>
      <c r="T7" s="745"/>
      <c r="U7" s="745"/>
      <c r="V7" s="745"/>
      <c r="W7" s="745"/>
      <c r="X7" s="745"/>
      <c r="Y7" s="745"/>
      <c r="Z7" s="745"/>
      <c r="AA7" s="745"/>
      <c r="AB7" s="745"/>
      <c r="AC7" s="747"/>
      <c r="AD7" s="747"/>
      <c r="AE7" s="747"/>
      <c r="AF7" s="745"/>
      <c r="AG7" s="745"/>
      <c r="AH7" s="745"/>
      <c r="AI7" s="745"/>
      <c r="AJ7" s="745"/>
      <c r="AK7" s="745"/>
      <c r="AL7" s="45"/>
      <c r="AM7" s="45"/>
      <c r="AN7" s="45"/>
      <c r="AO7" s="131"/>
      <c r="AP7" s="131"/>
      <c r="AQ7" s="131"/>
      <c r="AR7" s="131"/>
      <c r="AS7" s="131"/>
      <c r="AT7" s="131"/>
      <c r="AU7" s="131"/>
      <c r="AV7" s="131"/>
      <c r="AW7" s="131"/>
      <c r="AX7" s="131"/>
      <c r="AY7" s="131"/>
      <c r="AZ7" s="131"/>
      <c r="BA7" s="131"/>
      <c r="BB7" s="131"/>
      <c r="BC7" s="131"/>
      <c r="BD7" s="131"/>
      <c r="BE7" s="131"/>
      <c r="BF7" s="131"/>
    </row>
    <row r="8" customFormat="false" ht="10.5" hidden="false" customHeight="true" outlineLevel="0" collapsed="false">
      <c r="E8" s="79"/>
      <c r="F8" s="748" t="s">
        <v>316</v>
      </c>
      <c r="G8" s="748"/>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8"/>
      <c r="AK8" s="748"/>
      <c r="AL8" s="749"/>
      <c r="AM8" s="131"/>
      <c r="AN8" s="131"/>
      <c r="AO8" s="131"/>
      <c r="AP8" s="131"/>
      <c r="AQ8" s="131"/>
      <c r="AR8" s="131"/>
      <c r="AS8" s="131"/>
      <c r="AT8" s="131"/>
      <c r="AU8" s="131"/>
      <c r="AV8" s="131"/>
      <c r="AW8" s="131"/>
      <c r="AX8" s="131"/>
      <c r="AY8" s="131"/>
      <c r="AZ8" s="131"/>
      <c r="BA8" s="131"/>
      <c r="BB8" s="131"/>
      <c r="BC8" s="131"/>
      <c r="BD8" s="131"/>
      <c r="BE8" s="131"/>
      <c r="BF8" s="131"/>
    </row>
    <row r="9" customFormat="false" ht="23.25" hidden="false" customHeight="true" outlineLevel="0" collapsed="false">
      <c r="A9" s="740"/>
      <c r="B9" s="740"/>
      <c r="C9" s="740"/>
      <c r="E9" s="79"/>
      <c r="F9" s="394" t="s">
        <v>924</v>
      </c>
      <c r="G9" s="394" t="s">
        <v>925</v>
      </c>
      <c r="H9" s="394"/>
      <c r="I9" s="133" t="s">
        <v>926</v>
      </c>
      <c r="J9" s="133"/>
      <c r="K9" s="133" t="s">
        <v>927</v>
      </c>
      <c r="L9" s="133"/>
      <c r="M9" s="133"/>
      <c r="N9" s="133"/>
      <c r="O9" s="133"/>
      <c r="P9" s="133"/>
      <c r="Q9" s="133"/>
      <c r="R9" s="133"/>
      <c r="S9" s="133"/>
      <c r="T9" s="133"/>
      <c r="U9" s="133"/>
      <c r="V9" s="133"/>
      <c r="W9" s="133"/>
      <c r="X9" s="133"/>
      <c r="Y9" s="133"/>
      <c r="Z9" s="133" t="s">
        <v>928</v>
      </c>
      <c r="AA9" s="133"/>
      <c r="AB9" s="133" t="s">
        <v>929</v>
      </c>
      <c r="AC9" s="133"/>
      <c r="AD9" s="133"/>
      <c r="AE9" s="133"/>
      <c r="AF9" s="133" t="s">
        <v>930</v>
      </c>
      <c r="AG9" s="133" t="s">
        <v>931</v>
      </c>
      <c r="AH9" s="133"/>
      <c r="AI9" s="133" t="s">
        <v>932</v>
      </c>
      <c r="AJ9" s="133" t="s">
        <v>933</v>
      </c>
      <c r="AK9" s="133"/>
      <c r="AM9" s="131"/>
      <c r="AN9" s="131"/>
      <c r="AO9" s="131"/>
      <c r="AP9" s="131"/>
      <c r="AQ9" s="131"/>
      <c r="AR9" s="131"/>
      <c r="AS9" s="131"/>
      <c r="AT9" s="131"/>
      <c r="AU9" s="131"/>
      <c r="AV9" s="131"/>
      <c r="AW9" s="131"/>
      <c r="AX9" s="131"/>
      <c r="AY9" s="131"/>
      <c r="AZ9" s="131"/>
      <c r="BA9" s="131"/>
      <c r="BB9" s="131"/>
      <c r="BC9" s="131"/>
      <c r="BD9" s="131"/>
      <c r="BE9" s="131"/>
      <c r="BF9" s="131"/>
    </row>
    <row r="10" customFormat="false" ht="23.25" hidden="false" customHeight="true" outlineLevel="0" collapsed="false">
      <c r="A10" s="740"/>
      <c r="B10" s="740"/>
      <c r="C10" s="740"/>
      <c r="E10" s="79"/>
      <c r="F10" s="394"/>
      <c r="G10" s="394"/>
      <c r="H10" s="394"/>
      <c r="I10" s="133"/>
      <c r="J10" s="133"/>
      <c r="K10" s="145" t="s">
        <v>934</v>
      </c>
      <c r="L10" s="133" t="s">
        <v>935</v>
      </c>
      <c r="M10" s="133"/>
      <c r="N10" s="133" t="s">
        <v>936</v>
      </c>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M10" s="131"/>
      <c r="AN10" s="131"/>
      <c r="AO10" s="131"/>
      <c r="AP10" s="131"/>
      <c r="AQ10" s="131"/>
      <c r="AR10" s="131"/>
      <c r="AS10" s="131"/>
      <c r="AT10" s="131"/>
      <c r="AU10" s="131"/>
      <c r="AV10" s="131"/>
      <c r="AW10" s="131"/>
      <c r="AX10" s="131"/>
      <c r="AY10" s="131"/>
      <c r="AZ10" s="131"/>
      <c r="BA10" s="131"/>
      <c r="BB10" s="131"/>
      <c r="BC10" s="131"/>
      <c r="BD10" s="131"/>
      <c r="BE10" s="131"/>
      <c r="BF10" s="131"/>
    </row>
    <row r="11" s="42" customFormat="true" ht="23.25" hidden="false" customHeight="true" outlineLevel="0" collapsed="false">
      <c r="A11" s="740"/>
      <c r="B11" s="740"/>
      <c r="C11" s="740"/>
      <c r="D11" s="45"/>
      <c r="E11" s="79"/>
      <c r="F11" s="394"/>
      <c r="G11" s="394"/>
      <c r="H11" s="394"/>
      <c r="I11" s="133"/>
      <c r="J11" s="133"/>
      <c r="K11" s="145"/>
      <c r="L11" s="133" t="s">
        <v>937</v>
      </c>
      <c r="M11" s="133" t="s">
        <v>938</v>
      </c>
      <c r="N11" s="133" t="s">
        <v>939</v>
      </c>
      <c r="O11" s="133"/>
      <c r="P11" s="358" t="s">
        <v>920</v>
      </c>
      <c r="Q11" s="358" t="s">
        <v>940</v>
      </c>
      <c r="R11" s="358" t="s">
        <v>941</v>
      </c>
      <c r="S11" s="184" t="s">
        <v>942</v>
      </c>
      <c r="T11" s="184"/>
      <c r="U11" s="184"/>
      <c r="V11" s="184"/>
      <c r="W11" s="184"/>
      <c r="X11" s="184"/>
      <c r="Y11" s="184"/>
      <c r="Z11" s="133"/>
      <c r="AA11" s="133"/>
      <c r="AB11" s="133" t="s">
        <v>943</v>
      </c>
      <c r="AC11" s="133"/>
      <c r="AD11" s="133" t="s">
        <v>944</v>
      </c>
      <c r="AE11" s="133"/>
      <c r="AF11" s="133"/>
      <c r="AG11" s="133"/>
      <c r="AH11" s="133"/>
      <c r="AI11" s="133"/>
      <c r="AJ11" s="133"/>
      <c r="AK11" s="133"/>
      <c r="AM11" s="131"/>
      <c r="AN11" s="131"/>
      <c r="AO11" s="131"/>
      <c r="AP11" s="131"/>
      <c r="AQ11" s="131"/>
      <c r="AR11" s="131"/>
      <c r="AS11" s="131"/>
      <c r="AT11" s="131"/>
      <c r="AU11" s="131"/>
      <c r="AV11" s="131"/>
      <c r="AW11" s="131"/>
      <c r="AX11" s="131"/>
      <c r="AY11" s="131"/>
      <c r="AZ11" s="131"/>
      <c r="BA11" s="131"/>
      <c r="BB11" s="131"/>
      <c r="BC11" s="131"/>
      <c r="BD11" s="131"/>
      <c r="BE11" s="131"/>
      <c r="BF11" s="131"/>
    </row>
    <row r="12" customFormat="false" ht="33.75" hidden="false" customHeight="true" outlineLevel="0" collapsed="false">
      <c r="A12" s="740"/>
      <c r="B12" s="740"/>
      <c r="C12" s="740"/>
      <c r="E12" s="79"/>
      <c r="F12" s="394"/>
      <c r="G12" s="394"/>
      <c r="H12" s="394"/>
      <c r="I12" s="145" t="s">
        <v>85</v>
      </c>
      <c r="J12" s="145" t="s">
        <v>945</v>
      </c>
      <c r="K12" s="145"/>
      <c r="L12" s="133"/>
      <c r="M12" s="133"/>
      <c r="N12" s="133"/>
      <c r="O12" s="133"/>
      <c r="P12" s="358"/>
      <c r="Q12" s="358"/>
      <c r="R12" s="358"/>
      <c r="S12" s="184" t="s">
        <v>82</v>
      </c>
      <c r="T12" s="184" t="s">
        <v>83</v>
      </c>
      <c r="U12" s="184" t="s">
        <v>81</v>
      </c>
      <c r="V12" s="184" t="s">
        <v>946</v>
      </c>
      <c r="W12" s="184" t="s">
        <v>81</v>
      </c>
      <c r="X12" s="184" t="s">
        <v>947</v>
      </c>
      <c r="Y12" s="184" t="s">
        <v>948</v>
      </c>
      <c r="Z12" s="133"/>
      <c r="AA12" s="133"/>
      <c r="AB12" s="145" t="s">
        <v>949</v>
      </c>
      <c r="AC12" s="145" t="s">
        <v>950</v>
      </c>
      <c r="AD12" s="145" t="s">
        <v>949</v>
      </c>
      <c r="AE12" s="145" t="s">
        <v>950</v>
      </c>
      <c r="AF12" s="133"/>
      <c r="AG12" s="145" t="s">
        <v>951</v>
      </c>
      <c r="AH12" s="145" t="s">
        <v>952</v>
      </c>
      <c r="AI12" s="133"/>
      <c r="AJ12" s="145" t="s">
        <v>951</v>
      </c>
      <c r="AK12" s="145" t="s">
        <v>952</v>
      </c>
      <c r="AM12" s="131"/>
      <c r="AN12" s="131"/>
      <c r="AO12" s="131"/>
      <c r="AP12" s="131"/>
      <c r="AQ12" s="131"/>
      <c r="AR12" s="131"/>
      <c r="AS12" s="131"/>
      <c r="AT12" s="131"/>
      <c r="AU12" s="131"/>
      <c r="AV12" s="131"/>
      <c r="AW12" s="131"/>
      <c r="AX12" s="131"/>
      <c r="AY12" s="131"/>
      <c r="AZ12" s="131"/>
      <c r="BA12" s="131"/>
      <c r="BB12" s="131"/>
      <c r="BC12" s="131"/>
      <c r="BD12" s="131"/>
      <c r="BE12" s="131"/>
      <c r="BF12" s="131"/>
    </row>
    <row r="13" customFormat="false" ht="0.75" hidden="false" customHeight="true" outlineLevel="0" collapsed="false">
      <c r="E13" s="79"/>
      <c r="F13" s="79" t="n">
        <v>0</v>
      </c>
      <c r="G13" s="79"/>
      <c r="H13" s="79"/>
      <c r="I13" s="79"/>
      <c r="J13" s="79"/>
      <c r="AL13" s="749"/>
      <c r="AM13" s="131"/>
      <c r="AN13" s="131"/>
      <c r="AO13" s="131"/>
      <c r="AP13" s="131"/>
      <c r="AQ13" s="131"/>
      <c r="AR13" s="131"/>
      <c r="AS13" s="131"/>
      <c r="AT13" s="131"/>
      <c r="AU13" s="131"/>
      <c r="AV13" s="131"/>
      <c r="AW13" s="131"/>
      <c r="AX13" s="131"/>
      <c r="AY13" s="131"/>
      <c r="AZ13" s="131"/>
      <c r="BA13" s="131"/>
      <c r="BB13" s="131"/>
      <c r="BC13" s="131"/>
      <c r="BD13" s="131"/>
      <c r="BE13" s="131"/>
      <c r="BF13" s="131"/>
    </row>
    <row r="14" customFormat="false" ht="10.5" hidden="false" customHeight="true" outlineLevel="0" collapsed="false">
      <c r="E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row>
    <row r="15" customFormat="false" ht="12.75" hidden="false" customHeight="true" outlineLevel="0" collapsed="false">
      <c r="E15" s="131"/>
      <c r="F15" s="750" t="s">
        <v>953</v>
      </c>
      <c r="G15" s="95"/>
      <c r="H15" s="95"/>
      <c r="I15" s="95"/>
      <c r="J15" s="95"/>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row>
    <row r="17" customFormat="false" ht="10.5" hidden="false" customHeight="true" outlineLevel="0" collapsed="false">
      <c r="E17" s="131"/>
      <c r="F17" s="751"/>
      <c r="G17" s="751"/>
      <c r="H17" s="751"/>
      <c r="I17" s="751"/>
      <c r="J17" s="75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row>
    <row r="18" customFormat="false" ht="10.5" hidden="false" customHeight="true" outlineLevel="0" collapsed="false">
      <c r="E18" s="131"/>
      <c r="F18" s="751"/>
      <c r="G18" s="751"/>
      <c r="H18" s="751"/>
      <c r="I18" s="751"/>
      <c r="J18" s="75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row>
    <row r="19" customFormat="false" ht="10.5" hidden="false" customHeight="true" outlineLevel="0" collapsed="false">
      <c r="E19" s="131"/>
      <c r="F19" s="751"/>
      <c r="G19" s="751"/>
      <c r="H19" s="751"/>
      <c r="I19" s="751"/>
      <c r="J19" s="75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V58"/>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4453125" defaultRowHeight="10.5" zeroHeight="false" outlineLevelRow="0" outlineLevelCol="0"/>
  <cols>
    <col collapsed="false" customWidth="true" hidden="true" outlineLevel="0" max="3" min="1" style="657" width="4.14"/>
    <col collapsed="false" customWidth="true" hidden="true" outlineLevel="0" max="4" min="4" style="45" width="4.14"/>
    <col collapsed="false" customWidth="true" hidden="false" outlineLevel="0" max="5" min="5" style="42" width="3.71"/>
    <col collapsed="false" customWidth="true" hidden="false" outlineLevel="0" max="6" min="6" style="42" width="6.28"/>
    <col collapsed="false" customWidth="true" hidden="false" outlineLevel="0" max="7" min="7" style="42" width="60.14"/>
    <col collapsed="false" customWidth="true" hidden="true" outlineLevel="0" max="9" min="8" style="42" width="21.71"/>
    <col collapsed="false" customWidth="true" hidden="false" outlineLevel="0" max="10" min="10" style="42" width="0.14"/>
    <col collapsed="false" customWidth="true" hidden="false" outlineLevel="0" max="11" min="11" style="42" width="1.71"/>
    <col collapsed="false" customWidth="false" hidden="false" outlineLevel="0" max="22" min="12" style="42" width="9.14"/>
  </cols>
  <sheetData>
    <row r="1" s="45" customFormat="true" ht="10.5" hidden="true" customHeight="true" outlineLevel="0" collapsed="false">
      <c r="A1" s="657"/>
      <c r="B1" s="657"/>
      <c r="C1" s="657"/>
    </row>
    <row r="2" customFormat="false" ht="10.5" hidden="true" customHeight="true" outlineLevel="0" collapsed="false"/>
    <row r="3" s="45" customFormat="true" ht="10.5" hidden="true" customHeight="true" outlineLevel="0" collapsed="false">
      <c r="A3" s="657"/>
      <c r="B3" s="657"/>
      <c r="C3" s="657"/>
    </row>
    <row r="4" customFormat="false" ht="3" hidden="false" customHeight="true" outlineLevel="0" collapsed="false"/>
    <row r="5" customFormat="false" ht="25.5" hidden="false" customHeight="true" outlineLevel="0" collapsed="false">
      <c r="F5" s="212" t="str">
        <f aca="false">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2"/>
      <c r="H5" s="212"/>
      <c r="I5" s="212"/>
      <c r="J5" s="212"/>
    </row>
    <row r="6" customFormat="false" ht="10.5" hidden="false" customHeight="true" outlineLevel="0" collapsed="false">
      <c r="F6" s="265" t="str">
        <f aca="false">IF(org=0,"Не определено",org)</f>
        <v>ООО "Газпром теплоэнерго Ярославль"</v>
      </c>
      <c r="G6" s="265"/>
      <c r="H6" s="265"/>
      <c r="I6" s="265"/>
      <c r="J6" s="265"/>
    </row>
    <row r="7" customFormat="false" ht="11.25" hidden="false" customHeight="true" outlineLevel="0" collapsed="false">
      <c r="E7" s="79"/>
      <c r="F7" s="752"/>
      <c r="G7" s="752"/>
      <c r="H7" s="752"/>
      <c r="I7" s="752"/>
      <c r="J7" s="752"/>
      <c r="K7" s="131"/>
      <c r="L7" s="131"/>
      <c r="M7" s="131"/>
      <c r="N7" s="131"/>
      <c r="O7" s="131"/>
      <c r="P7" s="131"/>
      <c r="Q7" s="131"/>
      <c r="R7" s="131"/>
      <c r="S7" s="131"/>
      <c r="T7" s="131"/>
      <c r="U7" s="131"/>
      <c r="V7" s="131"/>
    </row>
    <row r="8" s="47" customFormat="true" ht="5.25" hidden="false" customHeight="true" outlineLevel="0" collapsed="false">
      <c r="A8" s="459"/>
      <c r="B8" s="459"/>
      <c r="C8" s="459"/>
      <c r="E8" s="155"/>
      <c r="F8" s="753"/>
      <c r="G8" s="753"/>
      <c r="H8" s="753"/>
      <c r="I8" s="753"/>
      <c r="J8" s="753"/>
      <c r="K8" s="155"/>
      <c r="L8" s="155"/>
      <c r="M8" s="155"/>
      <c r="N8" s="155"/>
      <c r="O8" s="155"/>
      <c r="P8" s="155"/>
      <c r="Q8" s="155"/>
      <c r="R8" s="155"/>
      <c r="S8" s="155"/>
      <c r="T8" s="155"/>
      <c r="U8" s="155"/>
      <c r="V8" s="155"/>
    </row>
    <row r="9" customFormat="false" ht="10.5" hidden="false" customHeight="true" outlineLevel="0" collapsed="false">
      <c r="E9" s="79"/>
      <c r="F9" s="754" t="s">
        <v>316</v>
      </c>
      <c r="G9" s="754"/>
      <c r="H9" s="754"/>
      <c r="I9" s="754"/>
      <c r="J9" s="754"/>
      <c r="K9" s="755"/>
      <c r="L9" s="131"/>
      <c r="M9" s="131"/>
      <c r="N9" s="131"/>
      <c r="O9" s="131"/>
      <c r="P9" s="131"/>
      <c r="Q9" s="131"/>
      <c r="R9" s="131"/>
      <c r="S9" s="131"/>
      <c r="T9" s="131"/>
      <c r="U9" s="131"/>
      <c r="V9" s="131"/>
    </row>
    <row r="10" customFormat="false" ht="24" hidden="false" customHeight="true" outlineLevel="0" collapsed="false">
      <c r="E10" s="131"/>
      <c r="F10" s="371" t="s">
        <v>84</v>
      </c>
      <c r="G10" s="220" t="s">
        <v>954</v>
      </c>
      <c r="H10" s="371" t="s">
        <v>955</v>
      </c>
      <c r="I10" s="371"/>
      <c r="J10" s="371"/>
      <c r="K10" s="756"/>
      <c r="L10" s="131"/>
      <c r="M10" s="131"/>
      <c r="N10" s="131"/>
      <c r="O10" s="131"/>
      <c r="P10" s="131"/>
      <c r="Q10" s="131"/>
      <c r="R10" s="131"/>
      <c r="S10" s="131"/>
      <c r="T10" s="131"/>
      <c r="U10" s="131"/>
      <c r="V10" s="131"/>
    </row>
    <row r="11" customFormat="false" ht="24" hidden="false" customHeight="true" outlineLevel="0" collapsed="false">
      <c r="E11" s="131"/>
      <c r="F11" s="371"/>
      <c r="G11" s="220"/>
      <c r="H11" s="757" t="e">
        <f aca="false">INDEX(IP_MAIN_LIST_NAME_IP,MATCH(H8,IP_MAIN_LIST_IP_ID,0))&amp;" ("&amp;INDEX(IP_MAIN_START_DATE,MATCH(H8,IP_MAIN_LIST_IP_ID,0))&amp;"-"&amp;INDEX(IP_MAIN_END_DATE,MATCH(H8,IP_MAIN_LIST_IP_ID,0))&amp;")"</f>
        <v>#N/A</v>
      </c>
      <c r="I11" s="757"/>
      <c r="J11" s="757"/>
      <c r="K11" s="756"/>
      <c r="L11" s="131"/>
      <c r="M11" s="131"/>
      <c r="N11" s="131"/>
      <c r="O11" s="131"/>
      <c r="P11" s="131"/>
      <c r="Q11" s="131"/>
      <c r="R11" s="131"/>
      <c r="S11" s="131"/>
      <c r="T11" s="131"/>
      <c r="U11" s="131"/>
      <c r="V11" s="131"/>
    </row>
    <row r="12" customFormat="false" ht="10.5" hidden="false" customHeight="true" outlineLevel="0" collapsed="false">
      <c r="F12" s="371"/>
      <c r="G12" s="220"/>
      <c r="H12" s="220" t="s">
        <v>956</v>
      </c>
      <c r="I12" s="758"/>
      <c r="J12" s="220"/>
      <c r="K12" s="759"/>
    </row>
    <row r="13" customFormat="false" ht="10.5" hidden="true" customHeight="true" outlineLevel="0" collapsed="false">
      <c r="F13" s="220" t="n">
        <v>1</v>
      </c>
      <c r="G13" s="220" t="n">
        <v>2</v>
      </c>
      <c r="H13" s="220" t="n">
        <v>3</v>
      </c>
      <c r="I13" s="220" t="n">
        <v>4</v>
      </c>
      <c r="J13" s="220" t="n">
        <v>5</v>
      </c>
      <c r="K13" s="759"/>
    </row>
    <row r="14" customFormat="false" ht="11.25" hidden="false" customHeight="true" outlineLevel="0" collapsed="false">
      <c r="F14" s="371" t="s">
        <v>957</v>
      </c>
      <c r="G14" s="691" t="s">
        <v>958</v>
      </c>
      <c r="H14" s="691"/>
      <c r="I14" s="691"/>
      <c r="J14" s="691"/>
      <c r="K14" s="759"/>
    </row>
    <row r="15" customFormat="false" ht="11.25" hidden="false" customHeight="true" outlineLevel="0" collapsed="false">
      <c r="F15" s="220" t="n">
        <v>1</v>
      </c>
      <c r="G15" s="205" t="s">
        <v>959</v>
      </c>
      <c r="H15" s="760" t="n">
        <f aca="false">SUM(I15:J15)</f>
        <v>0</v>
      </c>
      <c r="I15" s="760" t="n">
        <f aca="false">SUM(I16:I27)</f>
        <v>0</v>
      </c>
      <c r="J15" s="371"/>
      <c r="K15" s="759"/>
    </row>
    <row r="16" customFormat="false" ht="22.5" hidden="false" customHeight="true" outlineLevel="0" collapsed="false">
      <c r="F16" s="220" t="s">
        <v>960</v>
      </c>
      <c r="G16" s="688" t="s">
        <v>961</v>
      </c>
      <c r="H16" s="760" t="n">
        <f aca="false">SUM(I16:J16)</f>
        <v>0</v>
      </c>
      <c r="I16" s="761"/>
      <c r="J16" s="371"/>
      <c r="K16" s="759"/>
    </row>
    <row r="17" customFormat="false" ht="22.5" hidden="false" customHeight="true" outlineLevel="0" collapsed="false">
      <c r="F17" s="220" t="s">
        <v>962</v>
      </c>
      <c r="G17" s="688" t="s">
        <v>963</v>
      </c>
      <c r="H17" s="760" t="n">
        <f aca="false">SUM(I17:J17)</f>
        <v>0</v>
      </c>
      <c r="I17" s="761"/>
      <c r="J17" s="371"/>
      <c r="K17" s="759"/>
    </row>
    <row r="18" customFormat="false" ht="33.75" hidden="false" customHeight="true" outlineLevel="0" collapsed="false">
      <c r="F18" s="220" t="s">
        <v>964</v>
      </c>
      <c r="G18" s="688" t="s">
        <v>965</v>
      </c>
      <c r="H18" s="760" t="n">
        <f aca="false">SUM(I18:J18)</f>
        <v>0</v>
      </c>
      <c r="I18" s="761"/>
      <c r="J18" s="371"/>
      <c r="K18" s="759"/>
    </row>
    <row r="19" customFormat="false" ht="33.75" hidden="false" customHeight="true" outlineLevel="0" collapsed="false">
      <c r="F19" s="220" t="s">
        <v>966</v>
      </c>
      <c r="G19" s="688" t="s">
        <v>967</v>
      </c>
      <c r="H19" s="760" t="n">
        <f aca="false">SUM(I19:J19)</f>
        <v>0</v>
      </c>
      <c r="I19" s="761"/>
      <c r="J19" s="371"/>
      <c r="K19" s="759"/>
    </row>
    <row r="20" customFormat="false" ht="45" hidden="false" customHeight="true" outlineLevel="0" collapsed="false">
      <c r="F20" s="220" t="s">
        <v>968</v>
      </c>
      <c r="G20" s="688" t="s">
        <v>969</v>
      </c>
      <c r="H20" s="760" t="n">
        <f aca="false">SUM(I20:J20)</f>
        <v>0</v>
      </c>
      <c r="I20" s="761"/>
      <c r="J20" s="371"/>
      <c r="K20" s="759"/>
    </row>
    <row r="21" customFormat="false" ht="33.75" hidden="false" customHeight="true" outlineLevel="0" collapsed="false">
      <c r="F21" s="220" t="s">
        <v>970</v>
      </c>
      <c r="G21" s="688" t="s">
        <v>971</v>
      </c>
      <c r="H21" s="760" t="n">
        <f aca="false">SUM(I21:J21)</f>
        <v>0</v>
      </c>
      <c r="I21" s="761"/>
      <c r="J21" s="371"/>
      <c r="K21" s="759"/>
    </row>
    <row r="22" customFormat="false" ht="33.75" hidden="false" customHeight="true" outlineLevel="0" collapsed="false">
      <c r="F22" s="220" t="s">
        <v>972</v>
      </c>
      <c r="G22" s="688" t="s">
        <v>973</v>
      </c>
      <c r="H22" s="760" t="n">
        <f aca="false">SUM(I22:J22)</f>
        <v>0</v>
      </c>
      <c r="I22" s="761"/>
      <c r="J22" s="371"/>
      <c r="K22" s="759"/>
    </row>
    <row r="23" customFormat="false" ht="22.5" hidden="false" customHeight="true" outlineLevel="0" collapsed="false">
      <c r="F23" s="220" t="s">
        <v>974</v>
      </c>
      <c r="G23" s="688" t="s">
        <v>975</v>
      </c>
      <c r="H23" s="760" t="n">
        <f aca="false">SUM(I23:J23)</f>
        <v>0</v>
      </c>
      <c r="I23" s="761"/>
      <c r="J23" s="371"/>
      <c r="K23" s="759"/>
    </row>
    <row r="24" customFormat="false" ht="22.5" hidden="false" customHeight="true" outlineLevel="0" collapsed="false">
      <c r="F24" s="220" t="s">
        <v>976</v>
      </c>
      <c r="G24" s="688" t="s">
        <v>977</v>
      </c>
      <c r="H24" s="760" t="n">
        <f aca="false">SUM(I24:J24)</f>
        <v>0</v>
      </c>
      <c r="I24" s="761"/>
      <c r="J24" s="371"/>
      <c r="K24" s="759"/>
    </row>
    <row r="25" customFormat="false" ht="33.75" hidden="false" customHeight="true" outlineLevel="0" collapsed="false">
      <c r="F25" s="220" t="s">
        <v>978</v>
      </c>
      <c r="G25" s="688" t="s">
        <v>979</v>
      </c>
      <c r="H25" s="760" t="n">
        <f aca="false">SUM(I25:J25)</f>
        <v>0</v>
      </c>
      <c r="I25" s="761"/>
      <c r="J25" s="371"/>
      <c r="K25" s="759"/>
    </row>
    <row r="26" customFormat="false" ht="33.75" hidden="false" customHeight="true" outlineLevel="0" collapsed="false">
      <c r="F26" s="220" t="s">
        <v>980</v>
      </c>
      <c r="G26" s="688" t="s">
        <v>981</v>
      </c>
      <c r="H26" s="760" t="n">
        <f aca="false">SUM(I26:J26)</f>
        <v>0</v>
      </c>
      <c r="I26" s="761"/>
      <c r="J26" s="371"/>
      <c r="K26" s="759"/>
    </row>
    <row r="27" customFormat="false" ht="11.25" hidden="false" customHeight="true" outlineLevel="0" collapsed="false">
      <c r="F27" s="220" t="s">
        <v>982</v>
      </c>
      <c r="G27" s="688" t="s">
        <v>983</v>
      </c>
      <c r="H27" s="760" t="n">
        <f aca="false">SUM(I27:J27)</f>
        <v>0</v>
      </c>
      <c r="I27" s="761"/>
      <c r="J27" s="371"/>
      <c r="K27" s="759"/>
    </row>
    <row r="28" customFormat="false" ht="11.25" hidden="false" customHeight="true" outlineLevel="0" collapsed="false">
      <c r="F28" s="220" t="n">
        <v>2</v>
      </c>
      <c r="G28" s="205" t="s">
        <v>984</v>
      </c>
      <c r="H28" s="760" t="n">
        <f aca="false">SUM(I28:J28)</f>
        <v>0</v>
      </c>
      <c r="I28" s="760" t="n">
        <f aca="false">SUM(I29:I31)</f>
        <v>0</v>
      </c>
      <c r="J28" s="371"/>
      <c r="K28" s="759"/>
    </row>
    <row r="29" customFormat="false" ht="11.25" hidden="false" customHeight="true" outlineLevel="0" collapsed="false">
      <c r="F29" s="220" t="s">
        <v>643</v>
      </c>
      <c r="G29" s="688" t="s">
        <v>985</v>
      </c>
      <c r="H29" s="760" t="n">
        <f aca="false">SUM(I29:J29)</f>
        <v>0</v>
      </c>
      <c r="I29" s="761"/>
      <c r="J29" s="371"/>
      <c r="K29" s="759"/>
    </row>
    <row r="30" customFormat="false" ht="11.25" hidden="false" customHeight="true" outlineLevel="0" collapsed="false">
      <c r="F30" s="220" t="s">
        <v>323</v>
      </c>
      <c r="G30" s="688" t="s">
        <v>986</v>
      </c>
      <c r="H30" s="760" t="n">
        <f aca="false">SUM(I30:J30)</f>
        <v>0</v>
      </c>
      <c r="I30" s="761"/>
      <c r="J30" s="371"/>
      <c r="K30" s="759"/>
    </row>
    <row r="31" customFormat="false" ht="11.25" hidden="false" customHeight="true" outlineLevel="0" collapsed="false">
      <c r="F31" s="220" t="s">
        <v>326</v>
      </c>
      <c r="G31" s="688" t="s">
        <v>987</v>
      </c>
      <c r="H31" s="760" t="n">
        <f aca="false">SUM(I31:J31)</f>
        <v>0</v>
      </c>
      <c r="I31" s="761"/>
      <c r="J31" s="371"/>
      <c r="K31" s="759"/>
    </row>
    <row r="32" customFormat="false" ht="11.25" hidden="false" customHeight="true" outlineLevel="0" collapsed="false">
      <c r="F32" s="220" t="n">
        <v>3</v>
      </c>
      <c r="G32" s="205" t="s">
        <v>988</v>
      </c>
      <c r="H32" s="760" t="n">
        <f aca="false">SUM(I32:J32)</f>
        <v>0</v>
      </c>
      <c r="I32" s="760" t="n">
        <f aca="false">SUM(I33:I34)</f>
        <v>0</v>
      </c>
      <c r="J32" s="371"/>
      <c r="K32" s="759"/>
    </row>
    <row r="33" customFormat="false" ht="33.75" hidden="false" customHeight="true" outlineLevel="0" collapsed="false">
      <c r="F33" s="220" t="s">
        <v>340</v>
      </c>
      <c r="G33" s="688" t="s">
        <v>989</v>
      </c>
      <c r="H33" s="760" t="n">
        <f aca="false">SUM(I33:J33)</f>
        <v>0</v>
      </c>
      <c r="I33" s="761"/>
      <c r="J33" s="371"/>
      <c r="K33" s="759"/>
    </row>
    <row r="34" customFormat="false" ht="11.25" hidden="false" customHeight="true" outlineLevel="0" collapsed="false">
      <c r="F34" s="220" t="s">
        <v>348</v>
      </c>
      <c r="G34" s="688" t="s">
        <v>990</v>
      </c>
      <c r="H34" s="760" t="n">
        <f aca="false">SUM(I34:J34)</f>
        <v>0</v>
      </c>
      <c r="I34" s="761"/>
      <c r="J34" s="371"/>
      <c r="K34" s="759"/>
    </row>
    <row r="35" customFormat="false" ht="11.25" hidden="false" customHeight="true" outlineLevel="0" collapsed="false">
      <c r="F35" s="220" t="n">
        <v>4</v>
      </c>
      <c r="G35" s="205" t="s">
        <v>991</v>
      </c>
      <c r="H35" s="760" t="n">
        <f aca="false">SUM(I35:J35)</f>
        <v>0</v>
      </c>
      <c r="I35" s="761"/>
      <c r="J35" s="371"/>
      <c r="K35" s="759"/>
    </row>
    <row r="36" customFormat="false" ht="11.25" hidden="false" customHeight="true" outlineLevel="0" collapsed="false">
      <c r="F36" s="220"/>
      <c r="G36" s="691" t="s">
        <v>992</v>
      </c>
      <c r="H36" s="760" t="n">
        <f aca="false">SUM(I36:J36)</f>
        <v>0</v>
      </c>
      <c r="I36" s="760" t="n">
        <f aca="false">SUM(I15,I28,I32,I35)</f>
        <v>0</v>
      </c>
      <c r="J36" s="371"/>
      <c r="K36" s="759"/>
    </row>
    <row r="37" customFormat="false" ht="27.75" hidden="false" customHeight="true" outlineLevel="0" collapsed="false">
      <c r="F37" s="371" t="s">
        <v>993</v>
      </c>
      <c r="G37" s="318" t="s">
        <v>994</v>
      </c>
      <c r="H37" s="318"/>
      <c r="I37" s="318"/>
      <c r="J37" s="318"/>
      <c r="K37" s="759"/>
    </row>
    <row r="38" customFormat="false" ht="22.5" hidden="false" customHeight="true" outlineLevel="0" collapsed="false">
      <c r="F38" s="220" t="s">
        <v>117</v>
      </c>
      <c r="G38" s="205" t="s">
        <v>995</v>
      </c>
      <c r="H38" s="760" t="n">
        <f aca="false">SUM(I38:J38)</f>
        <v>0</v>
      </c>
      <c r="I38" s="760" t="n">
        <f aca="false">SUM(I39,I44,I47)</f>
        <v>0</v>
      </c>
      <c r="J38" s="371"/>
      <c r="K38" s="759"/>
    </row>
    <row r="39" customFormat="false" ht="11.25" hidden="false" customHeight="true" outlineLevel="0" collapsed="false">
      <c r="F39" s="220" t="s">
        <v>960</v>
      </c>
      <c r="G39" s="688" t="s">
        <v>959</v>
      </c>
      <c r="H39" s="760" t="n">
        <f aca="false">SUM(I39:J39)</f>
        <v>0</v>
      </c>
      <c r="I39" s="760" t="n">
        <f aca="false">SUM(I40:I43)</f>
        <v>0</v>
      </c>
      <c r="J39" s="371"/>
      <c r="K39" s="759"/>
    </row>
    <row r="40" customFormat="false" ht="22.5" hidden="false" customHeight="true" outlineLevel="0" collapsed="false">
      <c r="F40" s="220" t="s">
        <v>996</v>
      </c>
      <c r="G40" s="762" t="s">
        <v>997</v>
      </c>
      <c r="H40" s="760" t="n">
        <f aca="false">SUM(I40:J40)</f>
        <v>0</v>
      </c>
      <c r="I40" s="761"/>
      <c r="J40" s="371"/>
      <c r="K40" s="759"/>
    </row>
    <row r="41" customFormat="false" ht="11.25" hidden="false" customHeight="true" outlineLevel="0" collapsed="false">
      <c r="F41" s="220" t="s">
        <v>998</v>
      </c>
      <c r="G41" s="762" t="s">
        <v>999</v>
      </c>
      <c r="H41" s="760" t="n">
        <f aca="false">SUM(I41:J41)</f>
        <v>0</v>
      </c>
      <c r="I41" s="761"/>
      <c r="J41" s="371"/>
      <c r="K41" s="759"/>
    </row>
    <row r="42" customFormat="false" ht="11.25" hidden="false" customHeight="true" outlineLevel="0" collapsed="false">
      <c r="F42" s="220" t="s">
        <v>1000</v>
      </c>
      <c r="G42" s="762" t="s">
        <v>1001</v>
      </c>
      <c r="H42" s="760" t="n">
        <f aca="false">SUM(I42:J42)</f>
        <v>0</v>
      </c>
      <c r="I42" s="761"/>
      <c r="J42" s="371"/>
      <c r="K42" s="759"/>
    </row>
    <row r="43" customFormat="false" ht="33.75" hidden="false" customHeight="true" outlineLevel="0" collapsed="false">
      <c r="F43" s="220" t="s">
        <v>1002</v>
      </c>
      <c r="G43" s="762" t="s">
        <v>1003</v>
      </c>
      <c r="H43" s="760" t="n">
        <f aca="false">SUM(I43:J43)</f>
        <v>0</v>
      </c>
      <c r="I43" s="761"/>
      <c r="J43" s="371"/>
      <c r="K43" s="759"/>
    </row>
    <row r="44" customFormat="false" ht="11.25" hidden="false" customHeight="true" outlineLevel="0" collapsed="false">
      <c r="F44" s="220" t="s">
        <v>962</v>
      </c>
      <c r="G44" s="688" t="s">
        <v>988</v>
      </c>
      <c r="H44" s="760" t="n">
        <f aca="false">SUM(I44:J44)</f>
        <v>0</v>
      </c>
      <c r="I44" s="760" t="n">
        <f aca="false">SUM(I45:I46)</f>
        <v>0</v>
      </c>
      <c r="J44" s="371"/>
      <c r="K44" s="759"/>
    </row>
    <row r="45" customFormat="false" ht="45" hidden="false" customHeight="true" outlineLevel="0" collapsed="false">
      <c r="F45" s="220" t="s">
        <v>1004</v>
      </c>
      <c r="G45" s="762" t="s">
        <v>989</v>
      </c>
      <c r="H45" s="760" t="n">
        <f aca="false">SUM(I45:J45)</f>
        <v>0</v>
      </c>
      <c r="I45" s="761"/>
      <c r="J45" s="371"/>
      <c r="K45" s="759"/>
    </row>
    <row r="46" customFormat="false" ht="11.25" hidden="false" customHeight="true" outlineLevel="0" collapsed="false">
      <c r="F46" s="220" t="s">
        <v>1005</v>
      </c>
      <c r="G46" s="762" t="s">
        <v>990</v>
      </c>
      <c r="H46" s="760" t="n">
        <f aca="false">SUM(I46:J46)</f>
        <v>0</v>
      </c>
      <c r="I46" s="761"/>
      <c r="J46" s="371"/>
      <c r="K46" s="759"/>
    </row>
    <row r="47" customFormat="false" ht="11.25" hidden="false" customHeight="true" outlineLevel="0" collapsed="false">
      <c r="F47" s="220" t="s">
        <v>964</v>
      </c>
      <c r="G47" s="688" t="s">
        <v>1006</v>
      </c>
      <c r="H47" s="760" t="n">
        <f aca="false">SUM(I47:J47)</f>
        <v>0</v>
      </c>
      <c r="I47" s="761"/>
      <c r="J47" s="371"/>
      <c r="K47" s="759"/>
    </row>
    <row r="48" customFormat="false" ht="22.5" hidden="false" customHeight="true" outlineLevel="0" collapsed="false">
      <c r="F48" s="220" t="s">
        <v>99</v>
      </c>
      <c r="G48" s="205" t="s">
        <v>1007</v>
      </c>
      <c r="H48" s="760" t="n">
        <f aca="false">SUM(I48:J48)</f>
        <v>0</v>
      </c>
      <c r="I48" s="760" t="n">
        <f aca="false">SUM(I49,I54,I57)</f>
        <v>0</v>
      </c>
      <c r="J48" s="371"/>
      <c r="K48" s="759"/>
    </row>
    <row r="49" customFormat="false" ht="11.25" hidden="false" customHeight="true" outlineLevel="0" collapsed="false">
      <c r="F49" s="220" t="s">
        <v>643</v>
      </c>
      <c r="G49" s="688" t="s">
        <v>959</v>
      </c>
      <c r="H49" s="760" t="n">
        <f aca="false">SUM(I49:J49)</f>
        <v>0</v>
      </c>
      <c r="I49" s="760" t="n">
        <f aca="false">SUM(I50:I53)</f>
        <v>0</v>
      </c>
      <c r="J49" s="371"/>
      <c r="K49" s="759"/>
    </row>
    <row r="50" customFormat="false" ht="22.5" hidden="false" customHeight="true" outlineLevel="0" collapsed="false">
      <c r="F50" s="220" t="s">
        <v>646</v>
      </c>
      <c r="G50" s="762" t="s">
        <v>997</v>
      </c>
      <c r="H50" s="760" t="n">
        <f aca="false">SUM(I50:J50)</f>
        <v>0</v>
      </c>
      <c r="I50" s="761"/>
      <c r="J50" s="371"/>
      <c r="K50" s="759"/>
    </row>
    <row r="51" customFormat="false" ht="11.25" hidden="false" customHeight="true" outlineLevel="0" collapsed="false">
      <c r="F51" s="220" t="s">
        <v>649</v>
      </c>
      <c r="G51" s="762" t="s">
        <v>999</v>
      </c>
      <c r="H51" s="760" t="n">
        <f aca="false">SUM(I51:J51)</f>
        <v>0</v>
      </c>
      <c r="I51" s="761"/>
      <c r="J51" s="371"/>
      <c r="K51" s="759"/>
    </row>
    <row r="52" customFormat="false" ht="11.25" hidden="false" customHeight="true" outlineLevel="0" collapsed="false">
      <c r="F52" s="220" t="s">
        <v>1008</v>
      </c>
      <c r="G52" s="762" t="s">
        <v>1001</v>
      </c>
      <c r="H52" s="760" t="n">
        <f aca="false">SUM(I52:J52)</f>
        <v>0</v>
      </c>
      <c r="I52" s="761"/>
      <c r="J52" s="371"/>
      <c r="K52" s="759"/>
    </row>
    <row r="53" customFormat="false" ht="33.75" hidden="false" customHeight="true" outlineLevel="0" collapsed="false">
      <c r="F53" s="220" t="s">
        <v>1009</v>
      </c>
      <c r="G53" s="762" t="s">
        <v>1003</v>
      </c>
      <c r="H53" s="760" t="n">
        <f aca="false">SUM(I53:J53)</f>
        <v>0</v>
      </c>
      <c r="I53" s="761"/>
      <c r="J53" s="371"/>
      <c r="K53" s="759"/>
    </row>
    <row r="54" customFormat="false" ht="11.25" hidden="false" customHeight="true" outlineLevel="0" collapsed="false">
      <c r="F54" s="220" t="s">
        <v>323</v>
      </c>
      <c r="G54" s="688" t="s">
        <v>988</v>
      </c>
      <c r="H54" s="760" t="n">
        <f aca="false">SUM(I54:J54)</f>
        <v>0</v>
      </c>
      <c r="I54" s="760" t="n">
        <f aca="false">SUM(I55:I56)</f>
        <v>0</v>
      </c>
      <c r="J54" s="371"/>
      <c r="K54" s="759"/>
    </row>
    <row r="55" customFormat="false" ht="45" hidden="false" customHeight="true" outlineLevel="0" collapsed="false">
      <c r="F55" s="220" t="s">
        <v>653</v>
      </c>
      <c r="G55" s="762" t="s">
        <v>989</v>
      </c>
      <c r="H55" s="760" t="n">
        <f aca="false">SUM(I55:J55)</f>
        <v>0</v>
      </c>
      <c r="I55" s="761"/>
      <c r="J55" s="371"/>
      <c r="K55" s="759"/>
    </row>
    <row r="56" customFormat="false" ht="11.25" hidden="false" customHeight="true" outlineLevel="0" collapsed="false">
      <c r="F56" s="220" t="s">
        <v>655</v>
      </c>
      <c r="G56" s="762" t="s">
        <v>990</v>
      </c>
      <c r="H56" s="760" t="n">
        <f aca="false">SUM(I56:J56)</f>
        <v>0</v>
      </c>
      <c r="I56" s="761"/>
      <c r="J56" s="371"/>
      <c r="K56" s="759"/>
    </row>
    <row r="57" customFormat="false" ht="11.25" hidden="false" customHeight="true" outlineLevel="0" collapsed="false">
      <c r="F57" s="220" t="s">
        <v>326</v>
      </c>
      <c r="G57" s="688" t="s">
        <v>1006</v>
      </c>
      <c r="H57" s="760" t="n">
        <f aca="false">SUM(I57:J57)</f>
        <v>0</v>
      </c>
      <c r="I57" s="761"/>
      <c r="J57" s="371"/>
      <c r="K57" s="759"/>
    </row>
    <row r="58" customFormat="false" ht="11.25" hidden="false" customHeight="true" outlineLevel="0" collapsed="false">
      <c r="F58" s="220"/>
      <c r="G58" s="318" t="s">
        <v>992</v>
      </c>
      <c r="H58" s="760" t="n">
        <f aca="false">SUM(I58:J58)</f>
        <v>0</v>
      </c>
      <c r="I58" s="760" t="n">
        <f aca="false">SUM(I38,I48)</f>
        <v>0</v>
      </c>
      <c r="J58" s="371"/>
      <c r="K58" s="759"/>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B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2" zeroHeight="false" outlineLevelRow="0" outlineLevelCol="0"/>
  <cols>
    <col collapsed="false" customWidth="true" hidden="true" outlineLevel="0" max="1" min="1" style="763" width="4.71"/>
    <col collapsed="false" customWidth="true" hidden="true" outlineLevel="0" max="2" min="2" style="764" width="4.71"/>
    <col collapsed="false" customWidth="true" hidden="true" outlineLevel="0" max="4" min="3" style="763" width="4.71"/>
    <col collapsed="false" customWidth="true" hidden="false" outlineLevel="0" max="5" min="5" style="763" width="3.57"/>
    <col collapsed="false" customWidth="true" hidden="false" outlineLevel="0" max="6" min="6" style="763" width="6.71"/>
    <col collapsed="false" customWidth="true" hidden="false" outlineLevel="0" max="7" min="7" style="763" width="18.71"/>
    <col collapsed="false" customWidth="true" hidden="false" outlineLevel="0" max="8" min="8" style="763" width="27.28"/>
    <col collapsed="false" customWidth="true" hidden="false" outlineLevel="0" max="9" min="9" style="763" width="18.71"/>
    <col collapsed="false" customWidth="true" hidden="true" outlineLevel="0" max="14" min="10" style="763" width="0.85"/>
    <col collapsed="false" customWidth="true" hidden="true" outlineLevel="0" max="28" min="15" style="763" width="21.71"/>
    <col collapsed="false" customWidth="true" hidden="true" outlineLevel="0" max="71" min="29" style="763" width="0.85"/>
    <col collapsed="false" customWidth="true" hidden="false" outlineLevel="0" max="79" min="72" style="763" width="21.71"/>
    <col collapsed="false" customWidth="true" hidden="false" outlineLevel="0" max="81" min="80" style="763" width="29.14"/>
    <col collapsed="false" customWidth="true" hidden="false" outlineLevel="0" max="89" min="82" style="763" width="21.71"/>
    <col collapsed="false" customWidth="true" hidden="false" outlineLevel="0" max="102" min="90" style="763" width="0.71"/>
    <col collapsed="false" customWidth="true" hidden="true" outlineLevel="0" max="114" min="103" style="763" width="21.71"/>
    <col collapsed="false" customWidth="true" hidden="true" outlineLevel="0" max="178" min="115" style="763" width="0.71"/>
    <col collapsed="false" customWidth="true" hidden="false" outlineLevel="0" max="179" min="179" style="763" width="0.14"/>
    <col collapsed="false" customWidth="false" hidden="false" outlineLevel="0" max="184" min="180" style="763" width="9.14"/>
  </cols>
  <sheetData>
    <row r="1" s="765" customFormat="true" ht="12" hidden="true" customHeight="true" outlineLevel="0" collapsed="false">
      <c r="B1" s="766"/>
    </row>
    <row r="2" s="765" customFormat="true" ht="12" hidden="true" customHeight="true" outlineLevel="0" collapsed="false">
      <c r="B2" s="766"/>
    </row>
    <row r="3" s="765" customFormat="true" ht="12" hidden="true" customHeight="true" outlineLevel="0" collapsed="false">
      <c r="B3" s="766"/>
    </row>
    <row r="4" customFormat="false" ht="10.5" hidden="false" customHeight="true" outlineLevel="0" collapsed="false">
      <c r="H4" s="767"/>
      <c r="I4" s="767"/>
      <c r="J4" s="767"/>
      <c r="K4" s="767"/>
      <c r="L4" s="767"/>
    </row>
    <row r="5" s="598" customFormat="true" ht="25.5" hidden="false" customHeight="true" outlineLevel="0" collapsed="false">
      <c r="B5" s="768"/>
      <c r="E5" s="769"/>
      <c r="F5" s="770" t="str">
        <f aca="false">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770"/>
      <c r="H5" s="770"/>
      <c r="I5" s="770"/>
      <c r="J5" s="770"/>
      <c r="K5" s="770"/>
      <c r="L5" s="770"/>
      <c r="M5" s="770"/>
      <c r="N5" s="770"/>
      <c r="O5" s="770"/>
      <c r="P5" s="770"/>
      <c r="Q5" s="770"/>
      <c r="R5" s="770"/>
      <c r="S5" s="770"/>
      <c r="T5" s="770"/>
      <c r="U5" s="770"/>
      <c r="V5" s="770"/>
      <c r="W5" s="770"/>
      <c r="X5" s="770"/>
      <c r="Y5" s="770"/>
      <c r="Z5" s="770"/>
      <c r="AA5" s="770"/>
      <c r="AB5" s="770"/>
      <c r="AC5" s="770"/>
      <c r="AD5" s="770"/>
      <c r="AE5" s="770"/>
      <c r="AF5" s="770"/>
      <c r="AG5" s="770"/>
      <c r="AH5" s="770"/>
      <c r="AI5" s="770"/>
      <c r="AJ5" s="770"/>
      <c r="AK5" s="770"/>
      <c r="AL5" s="770"/>
      <c r="AM5" s="770"/>
      <c r="AN5" s="770"/>
      <c r="AO5" s="770"/>
      <c r="AP5" s="770"/>
      <c r="AQ5" s="770"/>
      <c r="AR5" s="770"/>
      <c r="AS5" s="770"/>
      <c r="AT5" s="770"/>
      <c r="AU5" s="770"/>
      <c r="AV5" s="770"/>
      <c r="AW5" s="770"/>
      <c r="AX5" s="770"/>
      <c r="AY5" s="770"/>
      <c r="AZ5" s="770"/>
      <c r="BA5" s="770"/>
      <c r="BB5" s="770"/>
      <c r="BC5" s="770"/>
      <c r="BD5" s="770"/>
      <c r="BE5" s="770"/>
      <c r="BF5" s="770"/>
      <c r="BG5" s="770"/>
      <c r="BH5" s="770"/>
      <c r="BI5" s="770"/>
      <c r="BJ5" s="770"/>
      <c r="BK5" s="770"/>
      <c r="BL5" s="770"/>
      <c r="BM5" s="770"/>
      <c r="BN5" s="770"/>
      <c r="BO5" s="770"/>
      <c r="BP5" s="770"/>
      <c r="BQ5" s="770"/>
      <c r="BR5" s="770"/>
      <c r="BS5" s="770"/>
    </row>
    <row r="6" s="113" customFormat="true" ht="18" hidden="false" customHeight="true" outlineLevel="0" collapsed="false">
      <c r="B6" s="657"/>
      <c r="E6" s="313"/>
      <c r="F6" s="771" t="str">
        <f aca="false">IF(org=0,"Не определено",org)</f>
        <v>ООО "Газпром теплоэнерго Ярославль"</v>
      </c>
      <c r="G6" s="771"/>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1"/>
      <c r="AY6" s="771"/>
      <c r="AZ6" s="771"/>
      <c r="BA6" s="771"/>
      <c r="BB6" s="771"/>
      <c r="BC6" s="771"/>
      <c r="BD6" s="771"/>
      <c r="BE6" s="771"/>
      <c r="BF6" s="771"/>
      <c r="BG6" s="771"/>
      <c r="BH6" s="771"/>
      <c r="BI6" s="771"/>
      <c r="BJ6" s="771"/>
      <c r="BK6" s="771"/>
      <c r="BL6" s="771"/>
      <c r="BM6" s="771"/>
      <c r="BN6" s="771"/>
      <c r="BO6" s="771"/>
      <c r="BP6" s="771"/>
      <c r="BQ6" s="771"/>
      <c r="BR6" s="771"/>
      <c r="BS6" s="771"/>
    </row>
    <row r="7" s="772" customFormat="true" ht="10.5" hidden="false" customHeight="true" outlineLevel="0" collapsed="false">
      <c r="B7" s="773"/>
      <c r="G7" s="774"/>
      <c r="H7" s="767"/>
      <c r="I7" s="767"/>
      <c r="J7" s="767"/>
      <c r="K7" s="767"/>
      <c r="L7" s="767"/>
    </row>
    <row r="8" s="772" customFormat="true" ht="11.25" hidden="true" customHeight="true" outlineLevel="0" collapsed="false">
      <c r="B8" s="773"/>
      <c r="F8" s="113"/>
      <c r="G8" s="43"/>
      <c r="H8" s="131"/>
      <c r="I8" s="131"/>
      <c r="J8" s="131"/>
      <c r="K8" s="131"/>
      <c r="L8" s="131"/>
      <c r="M8" s="113"/>
      <c r="N8" s="113"/>
      <c r="O8" s="775" t="s">
        <v>1010</v>
      </c>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5"/>
      <c r="AY8" s="775"/>
      <c r="AZ8" s="775"/>
      <c r="BA8" s="775"/>
      <c r="BB8" s="775"/>
      <c r="BC8" s="775"/>
      <c r="BD8" s="775"/>
      <c r="BE8" s="775"/>
      <c r="BF8" s="775"/>
      <c r="BG8" s="775"/>
      <c r="BH8" s="775"/>
      <c r="BI8" s="775"/>
      <c r="BJ8" s="775"/>
      <c r="BK8" s="775"/>
      <c r="BL8" s="775"/>
      <c r="BM8" s="775"/>
      <c r="BN8" s="775"/>
      <c r="BO8" s="775"/>
      <c r="BP8" s="775"/>
      <c r="BQ8" s="775"/>
      <c r="BR8" s="775"/>
      <c r="BS8" s="775"/>
      <c r="BT8" s="776"/>
      <c r="BU8" s="776"/>
      <c r="BV8" s="776"/>
      <c r="BW8" s="776"/>
      <c r="BX8" s="776"/>
      <c r="BY8" s="776"/>
      <c r="BZ8" s="776"/>
      <c r="CA8" s="776"/>
      <c r="CB8" s="776"/>
      <c r="CC8" s="776"/>
      <c r="CD8" s="776"/>
      <c r="CE8" s="776"/>
      <c r="CF8" s="776"/>
      <c r="CG8" s="776"/>
      <c r="CH8" s="776"/>
      <c r="CI8" s="776"/>
      <c r="CJ8" s="776"/>
      <c r="CK8" s="776"/>
      <c r="CL8" s="776"/>
      <c r="CM8" s="776"/>
      <c r="CN8" s="776"/>
      <c r="CO8" s="776"/>
      <c r="CP8" s="776"/>
      <c r="CQ8" s="776"/>
      <c r="CR8" s="776"/>
      <c r="CS8" s="776"/>
      <c r="CT8" s="776"/>
      <c r="CU8" s="776"/>
      <c r="CV8" s="776"/>
      <c r="CW8" s="776"/>
      <c r="CX8" s="776"/>
      <c r="CY8" s="777"/>
      <c r="CZ8" s="777"/>
      <c r="DA8" s="777"/>
      <c r="DB8" s="777"/>
      <c r="DC8" s="777"/>
      <c r="DD8" s="777"/>
      <c r="DE8" s="777"/>
      <c r="DF8" s="777"/>
      <c r="DG8" s="777"/>
      <c r="DH8" s="777"/>
      <c r="DI8" s="777"/>
      <c r="DJ8" s="777"/>
      <c r="DK8" s="777"/>
      <c r="DL8" s="777"/>
      <c r="DM8" s="777"/>
      <c r="DN8" s="777"/>
      <c r="DO8" s="777"/>
      <c r="DP8" s="777"/>
      <c r="DQ8" s="777"/>
      <c r="DR8" s="777"/>
      <c r="DS8" s="777"/>
      <c r="DT8" s="777"/>
      <c r="DU8" s="777"/>
      <c r="DV8" s="777"/>
      <c r="DW8" s="777"/>
      <c r="DX8" s="777"/>
      <c r="DY8" s="778" t="s">
        <v>1011</v>
      </c>
      <c r="DZ8" s="778"/>
      <c r="EA8" s="778"/>
      <c r="EB8" s="778"/>
      <c r="EC8" s="778"/>
      <c r="ED8" s="778"/>
      <c r="EE8" s="778"/>
      <c r="EF8" s="778"/>
      <c r="EG8" s="778"/>
      <c r="EH8" s="778"/>
      <c r="EI8" s="778"/>
      <c r="EJ8" s="778"/>
      <c r="EK8" s="778"/>
      <c r="EL8" s="778"/>
      <c r="EM8" s="778"/>
      <c r="EN8" s="778"/>
      <c r="EO8" s="778"/>
      <c r="EP8" s="778"/>
      <c r="EQ8" s="778"/>
      <c r="ER8" s="778"/>
      <c r="ES8" s="778"/>
      <c r="ET8" s="778"/>
      <c r="EU8" s="778"/>
      <c r="EV8" s="778"/>
      <c r="EW8" s="778"/>
      <c r="EX8" s="778"/>
      <c r="EY8" s="778"/>
      <c r="EZ8" s="778"/>
      <c r="FA8" s="778"/>
      <c r="FB8" s="778"/>
      <c r="FC8" s="778"/>
      <c r="FD8" s="778"/>
      <c r="FE8" s="778"/>
      <c r="FF8" s="778"/>
      <c r="FG8" s="778"/>
      <c r="FH8" s="778"/>
      <c r="FI8" s="778"/>
      <c r="FJ8" s="778"/>
      <c r="FK8" s="778"/>
      <c r="FL8" s="778"/>
      <c r="FM8" s="778"/>
      <c r="FN8" s="778"/>
      <c r="FO8" s="778"/>
      <c r="FP8" s="778"/>
      <c r="FQ8" s="778"/>
      <c r="FR8" s="778"/>
      <c r="FS8" s="778"/>
      <c r="FT8" s="778"/>
      <c r="FU8" s="778"/>
      <c r="FV8" s="778"/>
      <c r="FW8" s="779"/>
      <c r="FX8" s="113"/>
    </row>
    <row r="9" s="772" customFormat="true" ht="11.25" hidden="true" customHeight="true" outlineLevel="0" collapsed="false">
      <c r="B9" s="773"/>
      <c r="F9" s="113"/>
      <c r="G9" s="43"/>
      <c r="H9" s="131"/>
      <c r="I9" s="131"/>
      <c r="J9" s="131"/>
      <c r="K9" s="131"/>
      <c r="L9" s="131"/>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3"/>
      <c r="EG9" s="113"/>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113"/>
      <c r="FK9" s="113"/>
      <c r="FL9" s="113"/>
      <c r="FM9" s="113"/>
      <c r="FN9" s="113"/>
      <c r="FO9" s="113"/>
      <c r="FP9" s="113"/>
      <c r="FQ9" s="113"/>
      <c r="FR9" s="113"/>
      <c r="FS9" s="113"/>
      <c r="FT9" s="113"/>
      <c r="FU9" s="113"/>
      <c r="FV9" s="113"/>
      <c r="FW9" s="779"/>
      <c r="FX9" s="113"/>
    </row>
    <row r="10" s="772" customFormat="true" ht="11.25" hidden="false" customHeight="true" outlineLevel="0" collapsed="false">
      <c r="B10" s="773"/>
      <c r="F10" s="197" t="s">
        <v>316</v>
      </c>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c r="CC10" s="197"/>
      <c r="CD10" s="197"/>
      <c r="CE10" s="197"/>
      <c r="CF10" s="197"/>
      <c r="CG10" s="197"/>
      <c r="CH10" s="197"/>
      <c r="CI10" s="197"/>
      <c r="CJ10" s="197"/>
      <c r="CK10" s="197"/>
      <c r="CL10" s="197"/>
      <c r="CM10" s="197"/>
      <c r="CN10" s="197"/>
      <c r="CO10" s="197"/>
      <c r="CP10" s="197"/>
      <c r="CQ10" s="197"/>
      <c r="CR10" s="197"/>
      <c r="CS10" s="197"/>
      <c r="CT10" s="197"/>
      <c r="CU10" s="197"/>
      <c r="CV10" s="197"/>
      <c r="CW10" s="197"/>
      <c r="CX10" s="197"/>
      <c r="CY10" s="197"/>
      <c r="CZ10" s="197"/>
      <c r="DA10" s="197"/>
      <c r="DB10" s="197"/>
      <c r="DC10" s="197"/>
      <c r="DD10" s="197"/>
      <c r="DE10" s="197"/>
      <c r="DF10" s="197"/>
      <c r="DG10" s="197"/>
      <c r="DH10" s="197"/>
      <c r="DI10" s="197"/>
      <c r="DJ10" s="197"/>
      <c r="DK10" s="197"/>
      <c r="DL10" s="197"/>
      <c r="DM10" s="197"/>
      <c r="DN10" s="197"/>
      <c r="DO10" s="197"/>
      <c r="DP10" s="197"/>
      <c r="DQ10" s="197"/>
      <c r="DR10" s="197"/>
      <c r="DS10" s="197"/>
      <c r="DT10" s="197"/>
      <c r="DU10" s="197"/>
      <c r="DV10" s="197"/>
      <c r="DW10" s="197"/>
      <c r="DX10" s="197"/>
      <c r="DY10" s="197"/>
      <c r="DZ10" s="197"/>
      <c r="EA10" s="197"/>
      <c r="EB10" s="197"/>
      <c r="EC10" s="197"/>
      <c r="ED10" s="197"/>
      <c r="EE10" s="197"/>
      <c r="EF10" s="197"/>
      <c r="EG10" s="197"/>
      <c r="EH10" s="197"/>
      <c r="EI10" s="197"/>
      <c r="EJ10" s="197"/>
      <c r="EK10" s="197"/>
      <c r="EL10" s="197"/>
      <c r="EM10" s="197"/>
      <c r="EN10" s="197"/>
      <c r="EO10" s="197"/>
      <c r="EP10" s="197"/>
      <c r="EQ10" s="197"/>
      <c r="ER10" s="197"/>
      <c r="ES10" s="197"/>
      <c r="ET10" s="197"/>
      <c r="EU10" s="197"/>
      <c r="EV10" s="197"/>
      <c r="EW10" s="197"/>
      <c r="EX10" s="197"/>
      <c r="EY10" s="197"/>
      <c r="EZ10" s="197"/>
      <c r="FA10" s="197"/>
      <c r="FB10" s="197"/>
      <c r="FC10" s="197"/>
      <c r="FD10" s="197"/>
      <c r="FE10" s="197"/>
      <c r="FF10" s="197"/>
      <c r="FG10" s="197"/>
      <c r="FH10" s="197"/>
      <c r="FI10" s="197"/>
      <c r="FJ10" s="197"/>
      <c r="FK10" s="197"/>
      <c r="FL10" s="197"/>
      <c r="FM10" s="197"/>
      <c r="FN10" s="197"/>
      <c r="FO10" s="197"/>
      <c r="FP10" s="197"/>
      <c r="FQ10" s="197"/>
      <c r="FR10" s="197"/>
      <c r="FS10" s="197"/>
      <c r="FT10" s="197"/>
      <c r="FU10" s="197"/>
      <c r="FV10" s="197"/>
      <c r="FW10" s="779"/>
      <c r="FX10" s="113"/>
    </row>
    <row r="11" customFormat="false" ht="12" hidden="false" customHeight="true" outlineLevel="0" collapsed="false">
      <c r="E11" s="780"/>
      <c r="F11" s="301" t="s">
        <v>84</v>
      </c>
      <c r="G11" s="301" t="s">
        <v>1012</v>
      </c>
      <c r="H11" s="301" t="s">
        <v>1013</v>
      </c>
      <c r="I11" s="301" t="s">
        <v>1014</v>
      </c>
      <c r="J11" s="781"/>
      <c r="K11" s="781"/>
      <c r="L11" s="781"/>
      <c r="M11" s="781"/>
      <c r="N11" s="781"/>
      <c r="O11" s="394" t="s">
        <v>1015</v>
      </c>
      <c r="P11" s="394"/>
      <c r="Q11" s="394"/>
      <c r="R11" s="394"/>
      <c r="S11" s="394"/>
      <c r="T11" s="394"/>
      <c r="U11" s="394"/>
      <c r="V11" s="394"/>
      <c r="W11" s="394"/>
      <c r="X11" s="394"/>
      <c r="Y11" s="394"/>
      <c r="Z11" s="394"/>
      <c r="AA11" s="394"/>
      <c r="AB11" s="394"/>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2"/>
      <c r="AY11" s="782"/>
      <c r="AZ11" s="782"/>
      <c r="BA11" s="782"/>
      <c r="BB11" s="782"/>
      <c r="BC11" s="782"/>
      <c r="BD11" s="782"/>
      <c r="BE11" s="782"/>
      <c r="BF11" s="782"/>
      <c r="BG11" s="782"/>
      <c r="BH11" s="782"/>
      <c r="BI11" s="782"/>
      <c r="BJ11" s="782"/>
      <c r="BK11" s="782"/>
      <c r="BL11" s="782"/>
      <c r="BM11" s="782"/>
      <c r="BN11" s="782"/>
      <c r="BO11" s="782"/>
      <c r="BP11" s="782"/>
      <c r="BQ11" s="782"/>
      <c r="BR11" s="782"/>
      <c r="BS11" s="783"/>
      <c r="BT11" s="394" t="s">
        <v>1015</v>
      </c>
      <c r="BU11" s="394"/>
      <c r="BV11" s="394"/>
      <c r="BW11" s="394"/>
      <c r="BX11" s="394"/>
      <c r="BY11" s="394"/>
      <c r="BZ11" s="394"/>
      <c r="CA11" s="394"/>
      <c r="CB11" s="394"/>
      <c r="CC11" s="394"/>
      <c r="CD11" s="394"/>
      <c r="CE11" s="394"/>
      <c r="CF11" s="394"/>
      <c r="CG11" s="394"/>
      <c r="CH11" s="394"/>
      <c r="CI11" s="394"/>
      <c r="CJ11" s="394"/>
      <c r="CK11" s="394"/>
      <c r="CL11" s="784"/>
      <c r="CM11" s="782"/>
      <c r="CN11" s="782"/>
      <c r="CO11" s="782"/>
      <c r="CP11" s="782"/>
      <c r="CQ11" s="782"/>
      <c r="CR11" s="782"/>
      <c r="CS11" s="782"/>
      <c r="CT11" s="782"/>
      <c r="CU11" s="782"/>
      <c r="CV11" s="782"/>
      <c r="CW11" s="782"/>
      <c r="CX11" s="783"/>
      <c r="CY11" s="394" t="s">
        <v>1015</v>
      </c>
      <c r="CZ11" s="394"/>
      <c r="DA11" s="394"/>
      <c r="DB11" s="394"/>
      <c r="DC11" s="394"/>
      <c r="DD11" s="394"/>
      <c r="DE11" s="394"/>
      <c r="DF11" s="394"/>
      <c r="DG11" s="394"/>
      <c r="DH11" s="394"/>
      <c r="DI11" s="394"/>
      <c r="DJ11" s="394"/>
      <c r="DK11" s="784"/>
      <c r="DL11" s="782"/>
      <c r="DM11" s="782"/>
      <c r="DN11" s="782"/>
      <c r="DO11" s="782"/>
      <c r="DP11" s="782"/>
      <c r="DQ11" s="782"/>
      <c r="DR11" s="782"/>
      <c r="DS11" s="782"/>
      <c r="DT11" s="782"/>
      <c r="DU11" s="782"/>
      <c r="DV11" s="782"/>
      <c r="DW11" s="782"/>
      <c r="DX11" s="782"/>
      <c r="DY11" s="782"/>
      <c r="DZ11" s="782"/>
      <c r="EA11" s="782"/>
      <c r="EB11" s="782"/>
      <c r="EC11" s="782"/>
      <c r="ED11" s="782"/>
      <c r="EE11" s="782"/>
      <c r="EF11" s="782"/>
      <c r="EG11" s="782"/>
      <c r="EH11" s="782"/>
      <c r="EI11" s="782"/>
      <c r="EJ11" s="782"/>
      <c r="EK11" s="782"/>
      <c r="EL11" s="782"/>
      <c r="EM11" s="782"/>
      <c r="EN11" s="782"/>
      <c r="EO11" s="782"/>
      <c r="EP11" s="782"/>
      <c r="EQ11" s="782"/>
      <c r="ER11" s="782"/>
      <c r="ES11" s="782"/>
      <c r="ET11" s="782"/>
      <c r="EU11" s="782"/>
      <c r="EV11" s="782"/>
      <c r="EW11" s="782"/>
      <c r="EX11" s="782"/>
      <c r="EY11" s="782"/>
      <c r="EZ11" s="782"/>
      <c r="FA11" s="782"/>
      <c r="FB11" s="782"/>
      <c r="FC11" s="782"/>
      <c r="FD11" s="782"/>
      <c r="FE11" s="782"/>
      <c r="FF11" s="782"/>
      <c r="FG11" s="782"/>
      <c r="FH11" s="782"/>
      <c r="FI11" s="782"/>
      <c r="FJ11" s="782"/>
      <c r="FK11" s="782"/>
      <c r="FL11" s="782"/>
      <c r="FM11" s="782"/>
      <c r="FN11" s="782"/>
      <c r="FO11" s="782"/>
      <c r="FP11" s="782"/>
      <c r="FQ11" s="782"/>
      <c r="FR11" s="782"/>
      <c r="FS11" s="782"/>
      <c r="FT11" s="782"/>
      <c r="FU11" s="782"/>
      <c r="FV11" s="782"/>
      <c r="FW11" s="779"/>
      <c r="FX11" s="50"/>
    </row>
    <row r="12" customFormat="false" ht="12" hidden="false" customHeight="true" outlineLevel="0" collapsed="false">
      <c r="D12" s="767"/>
      <c r="E12" s="780"/>
      <c r="F12" s="301"/>
      <c r="G12" s="301"/>
      <c r="H12" s="301"/>
      <c r="I12" s="301"/>
      <c r="J12" s="781"/>
      <c r="K12" s="781"/>
      <c r="L12" s="781"/>
      <c r="M12" s="781"/>
      <c r="N12" s="781"/>
      <c r="O12" s="394" t="s">
        <v>1016</v>
      </c>
      <c r="P12" s="394"/>
      <c r="Q12" s="394"/>
      <c r="R12" s="394"/>
      <c r="S12" s="394" t="s">
        <v>1017</v>
      </c>
      <c r="T12" s="394"/>
      <c r="U12" s="394"/>
      <c r="V12" s="394"/>
      <c r="W12" s="394"/>
      <c r="X12" s="394"/>
      <c r="Y12" s="394"/>
      <c r="Z12" s="394"/>
      <c r="AA12" s="394"/>
      <c r="AB12" s="394"/>
      <c r="AC12" s="782"/>
      <c r="AD12" s="782"/>
      <c r="AE12" s="782"/>
      <c r="AF12" s="782"/>
      <c r="AG12" s="782"/>
      <c r="AH12" s="782"/>
      <c r="AI12" s="782"/>
      <c r="AJ12" s="782"/>
      <c r="AK12" s="782"/>
      <c r="AL12" s="782"/>
      <c r="AM12" s="782"/>
      <c r="AN12" s="782"/>
      <c r="AO12" s="782"/>
      <c r="AP12" s="782"/>
      <c r="AQ12" s="782"/>
      <c r="AR12" s="782"/>
      <c r="AS12" s="782"/>
      <c r="AT12" s="782"/>
      <c r="AU12" s="782"/>
      <c r="AV12" s="782"/>
      <c r="AW12" s="782"/>
      <c r="AX12" s="782"/>
      <c r="AY12" s="782"/>
      <c r="AZ12" s="782"/>
      <c r="BA12" s="782"/>
      <c r="BB12" s="782"/>
      <c r="BC12" s="782"/>
      <c r="BD12" s="782"/>
      <c r="BE12" s="782"/>
      <c r="BF12" s="782"/>
      <c r="BG12" s="782"/>
      <c r="BH12" s="782"/>
      <c r="BI12" s="782"/>
      <c r="BJ12" s="782"/>
      <c r="BK12" s="782"/>
      <c r="BL12" s="782"/>
      <c r="BM12" s="782"/>
      <c r="BN12" s="782"/>
      <c r="BO12" s="782"/>
      <c r="BP12" s="782"/>
      <c r="BQ12" s="782"/>
      <c r="BR12" s="782"/>
      <c r="BS12" s="783"/>
      <c r="BT12" s="394" t="s">
        <v>1018</v>
      </c>
      <c r="BU12" s="394"/>
      <c r="BV12" s="394"/>
      <c r="BW12" s="394"/>
      <c r="BX12" s="394" t="s">
        <v>1019</v>
      </c>
      <c r="BY12" s="394"/>
      <c r="BZ12" s="394"/>
      <c r="CA12" s="394"/>
      <c r="CB12" s="394" t="s">
        <v>1020</v>
      </c>
      <c r="CC12" s="394"/>
      <c r="CD12" s="394" t="s">
        <v>1021</v>
      </c>
      <c r="CE12" s="394"/>
      <c r="CF12" s="394"/>
      <c r="CG12" s="394"/>
      <c r="CH12" s="394"/>
      <c r="CI12" s="394"/>
      <c r="CJ12" s="394"/>
      <c r="CK12" s="394"/>
      <c r="CL12" s="784"/>
      <c r="CM12" s="782"/>
      <c r="CN12" s="782"/>
      <c r="CO12" s="782"/>
      <c r="CP12" s="782"/>
      <c r="CQ12" s="782"/>
      <c r="CR12" s="782"/>
      <c r="CS12" s="782"/>
      <c r="CT12" s="782"/>
      <c r="CU12" s="782"/>
      <c r="CV12" s="782"/>
      <c r="CW12" s="782"/>
      <c r="CX12" s="783"/>
      <c r="CY12" s="394" t="s">
        <v>1022</v>
      </c>
      <c r="CZ12" s="394"/>
      <c r="DA12" s="394"/>
      <c r="DB12" s="394"/>
      <c r="DC12" s="394"/>
      <c r="DD12" s="394"/>
      <c r="DE12" s="394" t="s">
        <v>1023</v>
      </c>
      <c r="DF12" s="394"/>
      <c r="DG12" s="394" t="s">
        <v>1021</v>
      </c>
      <c r="DH12" s="394"/>
      <c r="DI12" s="394"/>
      <c r="DJ12" s="394"/>
      <c r="DK12" s="784"/>
      <c r="DL12" s="782"/>
      <c r="DM12" s="782"/>
      <c r="DN12" s="782"/>
      <c r="DO12" s="782"/>
      <c r="DP12" s="782"/>
      <c r="DQ12" s="782"/>
      <c r="DR12" s="782"/>
      <c r="DS12" s="782"/>
      <c r="DT12" s="782"/>
      <c r="DU12" s="782"/>
      <c r="DV12" s="782"/>
      <c r="DW12" s="782"/>
      <c r="DX12" s="782"/>
      <c r="DY12" s="782"/>
      <c r="DZ12" s="782"/>
      <c r="EA12" s="782"/>
      <c r="EB12" s="782"/>
      <c r="EC12" s="782"/>
      <c r="ED12" s="782"/>
      <c r="EE12" s="782"/>
      <c r="EF12" s="782"/>
      <c r="EG12" s="782"/>
      <c r="EH12" s="782"/>
      <c r="EI12" s="782"/>
      <c r="EJ12" s="782"/>
      <c r="EK12" s="782"/>
      <c r="EL12" s="782"/>
      <c r="EM12" s="782"/>
      <c r="EN12" s="782"/>
      <c r="EO12" s="782"/>
      <c r="EP12" s="782"/>
      <c r="EQ12" s="782"/>
      <c r="ER12" s="782"/>
      <c r="ES12" s="782"/>
      <c r="ET12" s="782"/>
      <c r="EU12" s="782"/>
      <c r="EV12" s="782"/>
      <c r="EW12" s="782"/>
      <c r="EX12" s="782"/>
      <c r="EY12" s="782"/>
      <c r="EZ12" s="782"/>
      <c r="FA12" s="782"/>
      <c r="FB12" s="782"/>
      <c r="FC12" s="782"/>
      <c r="FD12" s="782"/>
      <c r="FE12" s="782"/>
      <c r="FF12" s="782"/>
      <c r="FG12" s="782"/>
      <c r="FH12" s="782"/>
      <c r="FI12" s="782"/>
      <c r="FJ12" s="782"/>
      <c r="FK12" s="782"/>
      <c r="FL12" s="782"/>
      <c r="FM12" s="782"/>
      <c r="FN12" s="782"/>
      <c r="FO12" s="782"/>
      <c r="FP12" s="782"/>
      <c r="FQ12" s="782"/>
      <c r="FR12" s="782"/>
      <c r="FS12" s="782"/>
      <c r="FT12" s="782"/>
      <c r="FU12" s="782"/>
      <c r="FV12" s="782"/>
      <c r="FW12" s="779"/>
      <c r="FX12" s="50"/>
    </row>
    <row r="13" customFormat="false" ht="36" hidden="false" customHeight="true" outlineLevel="0" collapsed="false">
      <c r="D13" s="767"/>
      <c r="E13" s="780"/>
      <c r="F13" s="301"/>
      <c r="G13" s="301"/>
      <c r="H13" s="301"/>
      <c r="I13" s="301"/>
      <c r="J13" s="781"/>
      <c r="K13" s="781"/>
      <c r="L13" s="781"/>
      <c r="M13" s="781"/>
      <c r="N13" s="781"/>
      <c r="O13" s="394" t="s">
        <v>1024</v>
      </c>
      <c r="P13" s="394"/>
      <c r="Q13" s="394"/>
      <c r="R13" s="394"/>
      <c r="S13" s="394" t="s">
        <v>1025</v>
      </c>
      <c r="T13" s="394"/>
      <c r="U13" s="133" t="s">
        <v>1026</v>
      </c>
      <c r="V13" s="133"/>
      <c r="W13" s="133"/>
      <c r="X13" s="133"/>
      <c r="Y13" s="133" t="s">
        <v>1027</v>
      </c>
      <c r="Z13" s="133"/>
      <c r="AA13" s="133"/>
      <c r="AB13" s="133"/>
      <c r="AC13" s="782"/>
      <c r="AD13" s="782"/>
      <c r="AE13" s="782"/>
      <c r="AF13" s="782"/>
      <c r="AG13" s="782"/>
      <c r="AH13" s="782"/>
      <c r="AI13" s="782"/>
      <c r="AJ13" s="782"/>
      <c r="AK13" s="782"/>
      <c r="AL13" s="782"/>
      <c r="AM13" s="782"/>
      <c r="AN13" s="782"/>
      <c r="AO13" s="782"/>
      <c r="AP13" s="782"/>
      <c r="AQ13" s="782"/>
      <c r="AR13" s="782"/>
      <c r="AS13" s="782"/>
      <c r="AT13" s="782"/>
      <c r="AU13" s="782"/>
      <c r="AV13" s="782"/>
      <c r="AW13" s="782"/>
      <c r="AX13" s="782"/>
      <c r="AY13" s="782"/>
      <c r="AZ13" s="782"/>
      <c r="BA13" s="782"/>
      <c r="BB13" s="782"/>
      <c r="BC13" s="782"/>
      <c r="BD13" s="782"/>
      <c r="BE13" s="782"/>
      <c r="BF13" s="782"/>
      <c r="BG13" s="782"/>
      <c r="BH13" s="782"/>
      <c r="BI13" s="782"/>
      <c r="BJ13" s="782"/>
      <c r="BK13" s="782"/>
      <c r="BL13" s="782"/>
      <c r="BM13" s="782"/>
      <c r="BN13" s="782"/>
      <c r="BO13" s="782"/>
      <c r="BP13" s="782"/>
      <c r="BQ13" s="782"/>
      <c r="BR13" s="782"/>
      <c r="BS13" s="783"/>
      <c r="BT13" s="394" t="s">
        <v>1028</v>
      </c>
      <c r="BU13" s="394"/>
      <c r="BV13" s="394" t="s">
        <v>1029</v>
      </c>
      <c r="BW13" s="394"/>
      <c r="BX13" s="394" t="s">
        <v>1030</v>
      </c>
      <c r="BY13" s="394"/>
      <c r="BZ13" s="394" t="s">
        <v>1031</v>
      </c>
      <c r="CA13" s="394"/>
      <c r="CB13" s="394" t="s">
        <v>1032</v>
      </c>
      <c r="CC13" s="394"/>
      <c r="CD13" s="394" t="s">
        <v>1033</v>
      </c>
      <c r="CE13" s="394"/>
      <c r="CF13" s="394" t="s">
        <v>1034</v>
      </c>
      <c r="CG13" s="394"/>
      <c r="CH13" s="394" t="s">
        <v>1035</v>
      </c>
      <c r="CI13" s="394"/>
      <c r="CJ13" s="394"/>
      <c r="CK13" s="394"/>
      <c r="CL13" s="784"/>
      <c r="CM13" s="782"/>
      <c r="CN13" s="782"/>
      <c r="CO13" s="782"/>
      <c r="CP13" s="782"/>
      <c r="CQ13" s="782"/>
      <c r="CR13" s="782"/>
      <c r="CS13" s="782"/>
      <c r="CT13" s="782"/>
      <c r="CU13" s="782"/>
      <c r="CV13" s="782"/>
      <c r="CW13" s="782"/>
      <c r="CX13" s="783"/>
      <c r="CY13" s="394" t="s">
        <v>1036</v>
      </c>
      <c r="CZ13" s="394"/>
      <c r="DA13" s="394" t="s">
        <v>1037</v>
      </c>
      <c r="DB13" s="394"/>
      <c r="DC13" s="394" t="s">
        <v>1038</v>
      </c>
      <c r="DD13" s="394"/>
      <c r="DE13" s="394" t="s">
        <v>1039</v>
      </c>
      <c r="DF13" s="394"/>
      <c r="DG13" s="394" t="s">
        <v>1040</v>
      </c>
      <c r="DH13" s="394"/>
      <c r="DI13" s="394"/>
      <c r="DJ13" s="394"/>
      <c r="DK13" s="784"/>
      <c r="DL13" s="782"/>
      <c r="DM13" s="782"/>
      <c r="DN13" s="782"/>
      <c r="DO13" s="782"/>
      <c r="DP13" s="782"/>
      <c r="DQ13" s="782"/>
      <c r="DR13" s="782"/>
      <c r="DS13" s="782"/>
      <c r="DT13" s="782"/>
      <c r="DU13" s="782"/>
      <c r="DV13" s="782"/>
      <c r="DW13" s="782"/>
      <c r="DX13" s="782"/>
      <c r="DY13" s="782"/>
      <c r="DZ13" s="782"/>
      <c r="EA13" s="782"/>
      <c r="EB13" s="782"/>
      <c r="EC13" s="782"/>
      <c r="ED13" s="782"/>
      <c r="EE13" s="782"/>
      <c r="EF13" s="782"/>
      <c r="EG13" s="782"/>
      <c r="EH13" s="782"/>
      <c r="EI13" s="782"/>
      <c r="EJ13" s="782"/>
      <c r="EK13" s="782"/>
      <c r="EL13" s="782"/>
      <c r="EM13" s="782"/>
      <c r="EN13" s="782"/>
      <c r="EO13" s="782"/>
      <c r="EP13" s="782"/>
      <c r="EQ13" s="782"/>
      <c r="ER13" s="782"/>
      <c r="ES13" s="782"/>
      <c r="ET13" s="782"/>
      <c r="EU13" s="782"/>
      <c r="EV13" s="782"/>
      <c r="EW13" s="782"/>
      <c r="EX13" s="782"/>
      <c r="EY13" s="782"/>
      <c r="EZ13" s="782"/>
      <c r="FA13" s="782"/>
      <c r="FB13" s="782"/>
      <c r="FC13" s="782"/>
      <c r="FD13" s="782"/>
      <c r="FE13" s="782"/>
      <c r="FF13" s="782"/>
      <c r="FG13" s="782"/>
      <c r="FH13" s="782"/>
      <c r="FI13" s="782"/>
      <c r="FJ13" s="782"/>
      <c r="FK13" s="782"/>
      <c r="FL13" s="782"/>
      <c r="FM13" s="782"/>
      <c r="FN13" s="782"/>
      <c r="FO13" s="782"/>
      <c r="FP13" s="782"/>
      <c r="FQ13" s="782"/>
      <c r="FR13" s="782"/>
      <c r="FS13" s="782"/>
      <c r="FT13" s="782"/>
      <c r="FU13" s="782"/>
      <c r="FV13" s="782"/>
      <c r="FW13" s="779"/>
      <c r="FX13" s="50"/>
    </row>
    <row r="14" customFormat="false" ht="36" hidden="false" customHeight="true" outlineLevel="0" collapsed="false">
      <c r="D14" s="767"/>
      <c r="E14" s="780"/>
      <c r="F14" s="301"/>
      <c r="G14" s="301"/>
      <c r="H14" s="301"/>
      <c r="I14" s="301"/>
      <c r="J14" s="781"/>
      <c r="K14" s="781"/>
      <c r="L14" s="781"/>
      <c r="M14" s="781"/>
      <c r="N14" s="781"/>
      <c r="O14" s="394" t="s">
        <v>1041</v>
      </c>
      <c r="P14" s="394"/>
      <c r="Q14" s="394" t="s">
        <v>1042</v>
      </c>
      <c r="R14" s="394"/>
      <c r="S14" s="394"/>
      <c r="T14" s="394"/>
      <c r="U14" s="394" t="s">
        <v>771</v>
      </c>
      <c r="V14" s="394"/>
      <c r="W14" s="394" t="s">
        <v>774</v>
      </c>
      <c r="X14" s="394"/>
      <c r="Y14" s="394" t="s">
        <v>771</v>
      </c>
      <c r="Z14" s="394"/>
      <c r="AA14" s="394" t="s">
        <v>781</v>
      </c>
      <c r="AB14" s="394"/>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2"/>
      <c r="BD14" s="782"/>
      <c r="BE14" s="782"/>
      <c r="BF14" s="782"/>
      <c r="BG14" s="782"/>
      <c r="BH14" s="782"/>
      <c r="BI14" s="782"/>
      <c r="BJ14" s="782"/>
      <c r="BK14" s="782"/>
      <c r="BL14" s="782"/>
      <c r="BM14" s="782"/>
      <c r="BN14" s="782"/>
      <c r="BO14" s="782"/>
      <c r="BP14" s="782"/>
      <c r="BQ14" s="782"/>
      <c r="BR14" s="782"/>
      <c r="BS14" s="783"/>
      <c r="BT14" s="394"/>
      <c r="BU14" s="394"/>
      <c r="BV14" s="394"/>
      <c r="BW14" s="394"/>
      <c r="BX14" s="394"/>
      <c r="BY14" s="394"/>
      <c r="BZ14" s="394"/>
      <c r="CA14" s="394"/>
      <c r="CB14" s="394"/>
      <c r="CC14" s="394"/>
      <c r="CD14" s="394"/>
      <c r="CE14" s="394"/>
      <c r="CF14" s="394"/>
      <c r="CG14" s="394"/>
      <c r="CH14" s="394" t="s">
        <v>1043</v>
      </c>
      <c r="CI14" s="394"/>
      <c r="CJ14" s="394" t="s">
        <v>1044</v>
      </c>
      <c r="CK14" s="394"/>
      <c r="CL14" s="784"/>
      <c r="CM14" s="782"/>
      <c r="CN14" s="782"/>
      <c r="CO14" s="782"/>
      <c r="CP14" s="782"/>
      <c r="CQ14" s="782"/>
      <c r="CR14" s="782"/>
      <c r="CS14" s="782"/>
      <c r="CT14" s="782"/>
      <c r="CU14" s="782"/>
      <c r="CV14" s="782"/>
      <c r="CW14" s="782"/>
      <c r="CX14" s="783"/>
      <c r="CY14" s="394"/>
      <c r="CZ14" s="394"/>
      <c r="DA14" s="394"/>
      <c r="DB14" s="394"/>
      <c r="DC14" s="394"/>
      <c r="DD14" s="394"/>
      <c r="DE14" s="394"/>
      <c r="DF14" s="394"/>
      <c r="DG14" s="394" t="s">
        <v>1045</v>
      </c>
      <c r="DH14" s="394"/>
      <c r="DI14" s="394" t="s">
        <v>1046</v>
      </c>
      <c r="DJ14" s="394"/>
      <c r="DK14" s="784"/>
      <c r="DL14" s="782"/>
      <c r="DM14" s="782"/>
      <c r="DN14" s="782"/>
      <c r="DO14" s="782"/>
      <c r="DP14" s="782"/>
      <c r="DQ14" s="782"/>
      <c r="DR14" s="782"/>
      <c r="DS14" s="782"/>
      <c r="DT14" s="782"/>
      <c r="DU14" s="782"/>
      <c r="DV14" s="782"/>
      <c r="DW14" s="782"/>
      <c r="DX14" s="782"/>
      <c r="DY14" s="782"/>
      <c r="DZ14" s="782"/>
      <c r="EA14" s="782"/>
      <c r="EB14" s="782"/>
      <c r="EC14" s="782"/>
      <c r="ED14" s="782"/>
      <c r="EE14" s="782"/>
      <c r="EF14" s="782"/>
      <c r="EG14" s="782"/>
      <c r="EH14" s="782"/>
      <c r="EI14" s="782"/>
      <c r="EJ14" s="782"/>
      <c r="EK14" s="782"/>
      <c r="EL14" s="782"/>
      <c r="EM14" s="782"/>
      <c r="EN14" s="782"/>
      <c r="EO14" s="782"/>
      <c r="EP14" s="782"/>
      <c r="EQ14" s="782"/>
      <c r="ER14" s="782"/>
      <c r="ES14" s="782"/>
      <c r="ET14" s="782"/>
      <c r="EU14" s="782"/>
      <c r="EV14" s="782"/>
      <c r="EW14" s="782"/>
      <c r="EX14" s="782"/>
      <c r="EY14" s="782"/>
      <c r="EZ14" s="782"/>
      <c r="FA14" s="782"/>
      <c r="FB14" s="782"/>
      <c r="FC14" s="782"/>
      <c r="FD14" s="782"/>
      <c r="FE14" s="782"/>
      <c r="FF14" s="782"/>
      <c r="FG14" s="782"/>
      <c r="FH14" s="782"/>
      <c r="FI14" s="782"/>
      <c r="FJ14" s="782"/>
      <c r="FK14" s="782"/>
      <c r="FL14" s="782"/>
      <c r="FM14" s="782"/>
      <c r="FN14" s="782"/>
      <c r="FO14" s="782"/>
      <c r="FP14" s="782"/>
      <c r="FQ14" s="782"/>
      <c r="FR14" s="782"/>
      <c r="FS14" s="782"/>
      <c r="FT14" s="782"/>
      <c r="FU14" s="782"/>
      <c r="FV14" s="782"/>
      <c r="FW14" s="779"/>
      <c r="FX14" s="50"/>
    </row>
    <row r="15" customFormat="false" ht="36" hidden="false" customHeight="true" outlineLevel="0" collapsed="false">
      <c r="D15" s="767"/>
      <c r="E15" s="780"/>
      <c r="F15" s="301"/>
      <c r="G15" s="301"/>
      <c r="H15" s="301"/>
      <c r="I15" s="301"/>
      <c r="J15" s="781"/>
      <c r="K15" s="781"/>
      <c r="L15" s="781"/>
      <c r="M15" s="781"/>
      <c r="N15" s="781"/>
      <c r="O15" s="394"/>
      <c r="P15" s="394"/>
      <c r="Q15" s="394"/>
      <c r="R15" s="394"/>
      <c r="S15" s="394"/>
      <c r="T15" s="394"/>
      <c r="U15" s="394"/>
      <c r="V15" s="394"/>
      <c r="W15" s="394"/>
      <c r="X15" s="394"/>
      <c r="Y15" s="394"/>
      <c r="Z15" s="394"/>
      <c r="AA15" s="394"/>
      <c r="AB15" s="394"/>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2"/>
      <c r="BD15" s="782"/>
      <c r="BE15" s="782"/>
      <c r="BF15" s="782"/>
      <c r="BG15" s="782"/>
      <c r="BH15" s="782"/>
      <c r="BI15" s="782"/>
      <c r="BJ15" s="782"/>
      <c r="BK15" s="782"/>
      <c r="BL15" s="782"/>
      <c r="BM15" s="782"/>
      <c r="BN15" s="782"/>
      <c r="BO15" s="782"/>
      <c r="BP15" s="782"/>
      <c r="BQ15" s="782"/>
      <c r="BR15" s="782"/>
      <c r="BS15" s="783"/>
      <c r="BT15" s="394"/>
      <c r="BU15" s="394"/>
      <c r="BV15" s="394"/>
      <c r="BW15" s="394"/>
      <c r="BX15" s="394"/>
      <c r="BY15" s="394"/>
      <c r="BZ15" s="394"/>
      <c r="CA15" s="394"/>
      <c r="CB15" s="394"/>
      <c r="CC15" s="394"/>
      <c r="CD15" s="394"/>
      <c r="CE15" s="394"/>
      <c r="CF15" s="394"/>
      <c r="CG15" s="394"/>
      <c r="CH15" s="394"/>
      <c r="CI15" s="394"/>
      <c r="CJ15" s="394"/>
      <c r="CK15" s="394"/>
      <c r="CL15" s="784"/>
      <c r="CM15" s="782"/>
      <c r="CN15" s="782"/>
      <c r="CO15" s="782"/>
      <c r="CP15" s="782"/>
      <c r="CQ15" s="782"/>
      <c r="CR15" s="782"/>
      <c r="CS15" s="782"/>
      <c r="CT15" s="782"/>
      <c r="CU15" s="782"/>
      <c r="CV15" s="782"/>
      <c r="CW15" s="782"/>
      <c r="CX15" s="783"/>
      <c r="CY15" s="394"/>
      <c r="CZ15" s="394"/>
      <c r="DA15" s="394"/>
      <c r="DB15" s="394"/>
      <c r="DC15" s="394"/>
      <c r="DD15" s="394"/>
      <c r="DE15" s="394"/>
      <c r="DF15" s="394"/>
      <c r="DG15" s="394"/>
      <c r="DH15" s="394"/>
      <c r="DI15" s="394"/>
      <c r="DJ15" s="394"/>
      <c r="DK15" s="784"/>
      <c r="DL15" s="782"/>
      <c r="DM15" s="782"/>
      <c r="DN15" s="782"/>
      <c r="DO15" s="782"/>
      <c r="DP15" s="782"/>
      <c r="DQ15" s="782"/>
      <c r="DR15" s="782"/>
      <c r="DS15" s="782"/>
      <c r="DT15" s="782"/>
      <c r="DU15" s="782"/>
      <c r="DV15" s="782"/>
      <c r="DW15" s="782"/>
      <c r="DX15" s="782"/>
      <c r="DY15" s="782"/>
      <c r="DZ15" s="782"/>
      <c r="EA15" s="782"/>
      <c r="EB15" s="782"/>
      <c r="EC15" s="782"/>
      <c r="ED15" s="782"/>
      <c r="EE15" s="782"/>
      <c r="EF15" s="782"/>
      <c r="EG15" s="782"/>
      <c r="EH15" s="782"/>
      <c r="EI15" s="782"/>
      <c r="EJ15" s="782"/>
      <c r="EK15" s="782"/>
      <c r="EL15" s="782"/>
      <c r="EM15" s="782"/>
      <c r="EN15" s="782"/>
      <c r="EO15" s="782"/>
      <c r="EP15" s="782"/>
      <c r="EQ15" s="782"/>
      <c r="ER15" s="782"/>
      <c r="ES15" s="782"/>
      <c r="ET15" s="782"/>
      <c r="EU15" s="782"/>
      <c r="EV15" s="782"/>
      <c r="EW15" s="782"/>
      <c r="EX15" s="782"/>
      <c r="EY15" s="782"/>
      <c r="EZ15" s="782"/>
      <c r="FA15" s="782"/>
      <c r="FB15" s="782"/>
      <c r="FC15" s="782"/>
      <c r="FD15" s="782"/>
      <c r="FE15" s="782"/>
      <c r="FF15" s="782"/>
      <c r="FG15" s="782"/>
      <c r="FH15" s="782"/>
      <c r="FI15" s="782"/>
      <c r="FJ15" s="782"/>
      <c r="FK15" s="782"/>
      <c r="FL15" s="782"/>
      <c r="FM15" s="782"/>
      <c r="FN15" s="782"/>
      <c r="FO15" s="782"/>
      <c r="FP15" s="782"/>
      <c r="FQ15" s="782"/>
      <c r="FR15" s="782"/>
      <c r="FS15" s="782"/>
      <c r="FT15" s="782"/>
      <c r="FU15" s="782"/>
      <c r="FV15" s="782"/>
      <c r="FW15" s="779"/>
      <c r="FX15" s="50"/>
    </row>
    <row r="16" customFormat="false" ht="12" hidden="false" customHeight="true" outlineLevel="0" collapsed="false">
      <c r="D16" s="767"/>
      <c r="E16" s="780"/>
      <c r="F16" s="301"/>
      <c r="G16" s="301"/>
      <c r="H16" s="301"/>
      <c r="I16" s="301"/>
      <c r="J16" s="781"/>
      <c r="K16" s="781"/>
      <c r="L16" s="781"/>
      <c r="M16" s="781"/>
      <c r="N16" s="781"/>
      <c r="O16" s="394" t="s">
        <v>761</v>
      </c>
      <c r="P16" s="394"/>
      <c r="Q16" s="394" t="s">
        <v>763</v>
      </c>
      <c r="R16" s="394"/>
      <c r="S16" s="394" t="s">
        <v>767</v>
      </c>
      <c r="T16" s="394"/>
      <c r="U16" s="394" t="s">
        <v>772</v>
      </c>
      <c r="V16" s="394"/>
      <c r="W16" s="394" t="s">
        <v>775</v>
      </c>
      <c r="X16" s="394"/>
      <c r="Y16" s="394" t="s">
        <v>779</v>
      </c>
      <c r="Z16" s="394"/>
      <c r="AA16" s="394" t="s">
        <v>782</v>
      </c>
      <c r="AB16" s="394"/>
      <c r="AC16" s="782"/>
      <c r="AD16" s="782"/>
      <c r="AE16" s="782"/>
      <c r="AF16" s="782"/>
      <c r="AG16" s="782"/>
      <c r="AH16" s="782"/>
      <c r="AI16" s="782"/>
      <c r="AJ16" s="782"/>
      <c r="AK16" s="782"/>
      <c r="AL16" s="782"/>
      <c r="AM16" s="782"/>
      <c r="AN16" s="782"/>
      <c r="AO16" s="782"/>
      <c r="AP16" s="782"/>
      <c r="AQ16" s="782"/>
      <c r="AR16" s="782"/>
      <c r="AS16" s="782"/>
      <c r="AT16" s="782"/>
      <c r="AU16" s="782"/>
      <c r="AV16" s="782"/>
      <c r="AW16" s="782"/>
      <c r="AX16" s="782"/>
      <c r="AY16" s="782"/>
      <c r="AZ16" s="782"/>
      <c r="BA16" s="782"/>
      <c r="BB16" s="782"/>
      <c r="BC16" s="782"/>
      <c r="BD16" s="782"/>
      <c r="BE16" s="782"/>
      <c r="BF16" s="782"/>
      <c r="BG16" s="782"/>
      <c r="BH16" s="782"/>
      <c r="BI16" s="782"/>
      <c r="BJ16" s="782"/>
      <c r="BK16" s="782"/>
      <c r="BL16" s="782"/>
      <c r="BM16" s="782"/>
      <c r="BN16" s="782"/>
      <c r="BO16" s="782"/>
      <c r="BP16" s="782"/>
      <c r="BQ16" s="782"/>
      <c r="BR16" s="782"/>
      <c r="BS16" s="783"/>
      <c r="BT16" s="394" t="s">
        <v>579</v>
      </c>
      <c r="BU16" s="394"/>
      <c r="BV16" s="394" t="s">
        <v>579</v>
      </c>
      <c r="BW16" s="394"/>
      <c r="BX16" s="394" t="s">
        <v>579</v>
      </c>
      <c r="BY16" s="394"/>
      <c r="BZ16" s="394" t="s">
        <v>579</v>
      </c>
      <c r="CA16" s="394"/>
      <c r="CB16" s="394" t="s">
        <v>1047</v>
      </c>
      <c r="CC16" s="394"/>
      <c r="CD16" s="394" t="s">
        <v>579</v>
      </c>
      <c r="CE16" s="394"/>
      <c r="CF16" s="394" t="s">
        <v>1048</v>
      </c>
      <c r="CG16" s="394"/>
      <c r="CH16" s="394" t="s">
        <v>1049</v>
      </c>
      <c r="CI16" s="394"/>
      <c r="CJ16" s="394" t="s">
        <v>1049</v>
      </c>
      <c r="CK16" s="394"/>
      <c r="CL16" s="784"/>
      <c r="CM16" s="782"/>
      <c r="CN16" s="782"/>
      <c r="CO16" s="782"/>
      <c r="CP16" s="782"/>
      <c r="CQ16" s="782"/>
      <c r="CR16" s="782"/>
      <c r="CS16" s="782"/>
      <c r="CT16" s="782"/>
      <c r="CU16" s="782"/>
      <c r="CV16" s="782"/>
      <c r="CW16" s="782"/>
      <c r="CX16" s="783"/>
      <c r="CY16" s="741" t="s">
        <v>579</v>
      </c>
      <c r="CZ16" s="741"/>
      <c r="DA16" s="741" t="s">
        <v>579</v>
      </c>
      <c r="DB16" s="741"/>
      <c r="DC16" s="741" t="s">
        <v>579</v>
      </c>
      <c r="DD16" s="741"/>
      <c r="DE16" s="394" t="s">
        <v>1047</v>
      </c>
      <c r="DF16" s="394"/>
      <c r="DG16" s="394" t="s">
        <v>1050</v>
      </c>
      <c r="DH16" s="394"/>
      <c r="DI16" s="394" t="s">
        <v>1050</v>
      </c>
      <c r="DJ16" s="394"/>
      <c r="DK16" s="784"/>
      <c r="DL16" s="782"/>
      <c r="DM16" s="782"/>
      <c r="DN16" s="782"/>
      <c r="DO16" s="782"/>
      <c r="DP16" s="782"/>
      <c r="DQ16" s="782"/>
      <c r="DR16" s="782"/>
      <c r="DS16" s="782"/>
      <c r="DT16" s="782"/>
      <c r="DU16" s="782"/>
      <c r="DV16" s="782"/>
      <c r="DW16" s="782"/>
      <c r="DX16" s="782"/>
      <c r="DY16" s="782"/>
      <c r="DZ16" s="782"/>
      <c r="EA16" s="782"/>
      <c r="EB16" s="782"/>
      <c r="EC16" s="782"/>
      <c r="ED16" s="782"/>
      <c r="EE16" s="782"/>
      <c r="EF16" s="782"/>
      <c r="EG16" s="782"/>
      <c r="EH16" s="782"/>
      <c r="EI16" s="782"/>
      <c r="EJ16" s="782"/>
      <c r="EK16" s="782"/>
      <c r="EL16" s="782"/>
      <c r="EM16" s="782"/>
      <c r="EN16" s="782"/>
      <c r="EO16" s="782"/>
      <c r="EP16" s="782"/>
      <c r="EQ16" s="782"/>
      <c r="ER16" s="782"/>
      <c r="ES16" s="782"/>
      <c r="ET16" s="782"/>
      <c r="EU16" s="782"/>
      <c r="EV16" s="782"/>
      <c r="EW16" s="782"/>
      <c r="EX16" s="782"/>
      <c r="EY16" s="782"/>
      <c r="EZ16" s="782"/>
      <c r="FA16" s="782"/>
      <c r="FB16" s="782"/>
      <c r="FC16" s="782"/>
      <c r="FD16" s="782"/>
      <c r="FE16" s="782"/>
      <c r="FF16" s="782"/>
      <c r="FG16" s="782"/>
      <c r="FH16" s="782"/>
      <c r="FI16" s="782"/>
      <c r="FJ16" s="782"/>
      <c r="FK16" s="782"/>
      <c r="FL16" s="782"/>
      <c r="FM16" s="782"/>
      <c r="FN16" s="782"/>
      <c r="FO16" s="782"/>
      <c r="FP16" s="782"/>
      <c r="FQ16" s="782"/>
      <c r="FR16" s="782"/>
      <c r="FS16" s="782"/>
      <c r="FT16" s="782"/>
      <c r="FU16" s="782"/>
      <c r="FV16" s="782"/>
      <c r="FW16" s="779"/>
      <c r="FX16" s="50"/>
    </row>
    <row r="17" customFormat="false" ht="15" hidden="false" customHeight="true" outlineLevel="0" collapsed="false">
      <c r="E17" s="780"/>
      <c r="F17" s="301"/>
      <c r="G17" s="301"/>
      <c r="H17" s="301"/>
      <c r="I17" s="301"/>
      <c r="J17" s="781"/>
      <c r="K17" s="781"/>
      <c r="L17" s="781"/>
      <c r="M17" s="781"/>
      <c r="N17" s="781"/>
      <c r="O17" s="394" t="s">
        <v>1051</v>
      </c>
      <c r="P17" s="394" t="s">
        <v>1052</v>
      </c>
      <c r="Q17" s="394" t="s">
        <v>1051</v>
      </c>
      <c r="R17" s="394" t="s">
        <v>1052</v>
      </c>
      <c r="S17" s="394" t="s">
        <v>1051</v>
      </c>
      <c r="T17" s="394" t="s">
        <v>1052</v>
      </c>
      <c r="U17" s="394" t="s">
        <v>1051</v>
      </c>
      <c r="V17" s="394" t="s">
        <v>1052</v>
      </c>
      <c r="W17" s="394" t="s">
        <v>1051</v>
      </c>
      <c r="X17" s="394" t="s">
        <v>1052</v>
      </c>
      <c r="Y17" s="394" t="s">
        <v>1051</v>
      </c>
      <c r="Z17" s="394" t="s">
        <v>1052</v>
      </c>
      <c r="AA17" s="394" t="s">
        <v>1051</v>
      </c>
      <c r="AB17" s="394" t="s">
        <v>1052</v>
      </c>
      <c r="AC17" s="782"/>
      <c r="AD17" s="782"/>
      <c r="AE17" s="782"/>
      <c r="AF17" s="782"/>
      <c r="AG17" s="782"/>
      <c r="AH17" s="782"/>
      <c r="AI17" s="782"/>
      <c r="AJ17" s="782"/>
      <c r="AK17" s="782"/>
      <c r="AL17" s="782"/>
      <c r="AM17" s="782"/>
      <c r="AN17" s="782"/>
      <c r="AO17" s="782"/>
      <c r="AP17" s="782"/>
      <c r="AQ17" s="782"/>
      <c r="AR17" s="782"/>
      <c r="AS17" s="782"/>
      <c r="AT17" s="782"/>
      <c r="AU17" s="782"/>
      <c r="AV17" s="782"/>
      <c r="AW17" s="782"/>
      <c r="AX17" s="782"/>
      <c r="AY17" s="782"/>
      <c r="AZ17" s="782"/>
      <c r="BA17" s="782"/>
      <c r="BB17" s="782"/>
      <c r="BC17" s="782"/>
      <c r="BD17" s="782"/>
      <c r="BE17" s="782"/>
      <c r="BF17" s="782"/>
      <c r="BG17" s="782"/>
      <c r="BH17" s="782"/>
      <c r="BI17" s="782"/>
      <c r="BJ17" s="782"/>
      <c r="BK17" s="782"/>
      <c r="BL17" s="782"/>
      <c r="BM17" s="782"/>
      <c r="BN17" s="782"/>
      <c r="BO17" s="782"/>
      <c r="BP17" s="782"/>
      <c r="BQ17" s="782"/>
      <c r="BR17" s="782"/>
      <c r="BS17" s="783"/>
      <c r="BT17" s="394" t="s">
        <v>1051</v>
      </c>
      <c r="BU17" s="394" t="s">
        <v>1052</v>
      </c>
      <c r="BV17" s="394" t="s">
        <v>1051</v>
      </c>
      <c r="BW17" s="394" t="s">
        <v>1052</v>
      </c>
      <c r="BX17" s="394" t="s">
        <v>1051</v>
      </c>
      <c r="BY17" s="394" t="s">
        <v>1052</v>
      </c>
      <c r="BZ17" s="394" t="s">
        <v>1051</v>
      </c>
      <c r="CA17" s="394" t="s">
        <v>1052</v>
      </c>
      <c r="CB17" s="394" t="s">
        <v>1051</v>
      </c>
      <c r="CC17" s="394" t="s">
        <v>1052</v>
      </c>
      <c r="CD17" s="394" t="s">
        <v>1051</v>
      </c>
      <c r="CE17" s="394" t="s">
        <v>1052</v>
      </c>
      <c r="CF17" s="394" t="s">
        <v>1051</v>
      </c>
      <c r="CG17" s="394" t="s">
        <v>1052</v>
      </c>
      <c r="CH17" s="394" t="s">
        <v>1051</v>
      </c>
      <c r="CI17" s="394" t="s">
        <v>1052</v>
      </c>
      <c r="CJ17" s="394" t="s">
        <v>1051</v>
      </c>
      <c r="CK17" s="394" t="s">
        <v>1052</v>
      </c>
      <c r="CL17" s="784"/>
      <c r="CM17" s="782"/>
      <c r="CN17" s="782"/>
      <c r="CO17" s="782"/>
      <c r="CP17" s="782"/>
      <c r="CQ17" s="782"/>
      <c r="CR17" s="782"/>
      <c r="CS17" s="782"/>
      <c r="CT17" s="782"/>
      <c r="CU17" s="782"/>
      <c r="CV17" s="782"/>
      <c r="CW17" s="782"/>
      <c r="CX17" s="783"/>
      <c r="CY17" s="394" t="s">
        <v>1051</v>
      </c>
      <c r="CZ17" s="394" t="s">
        <v>1052</v>
      </c>
      <c r="DA17" s="394" t="s">
        <v>1051</v>
      </c>
      <c r="DB17" s="394" t="s">
        <v>1052</v>
      </c>
      <c r="DC17" s="394" t="s">
        <v>1051</v>
      </c>
      <c r="DD17" s="394" t="s">
        <v>1052</v>
      </c>
      <c r="DE17" s="394" t="s">
        <v>1051</v>
      </c>
      <c r="DF17" s="394" t="s">
        <v>1052</v>
      </c>
      <c r="DG17" s="394" t="s">
        <v>1051</v>
      </c>
      <c r="DH17" s="394" t="s">
        <v>1052</v>
      </c>
      <c r="DI17" s="394" t="s">
        <v>1051</v>
      </c>
      <c r="DJ17" s="394" t="s">
        <v>1052</v>
      </c>
      <c r="DK17" s="784"/>
      <c r="DL17" s="782"/>
      <c r="DM17" s="782"/>
      <c r="DN17" s="782"/>
      <c r="DO17" s="782"/>
      <c r="DP17" s="782"/>
      <c r="DQ17" s="782"/>
      <c r="DR17" s="782"/>
      <c r="DS17" s="782"/>
      <c r="DT17" s="782"/>
      <c r="DU17" s="782"/>
      <c r="DV17" s="782"/>
      <c r="DW17" s="782"/>
      <c r="DX17" s="782"/>
      <c r="DY17" s="782"/>
      <c r="DZ17" s="782"/>
      <c r="EA17" s="782"/>
      <c r="EB17" s="782"/>
      <c r="EC17" s="782"/>
      <c r="ED17" s="782"/>
      <c r="EE17" s="782"/>
      <c r="EF17" s="782"/>
      <c r="EG17" s="782"/>
      <c r="EH17" s="782"/>
      <c r="EI17" s="782"/>
      <c r="EJ17" s="782"/>
      <c r="EK17" s="782"/>
      <c r="EL17" s="782"/>
      <c r="EM17" s="782"/>
      <c r="EN17" s="782"/>
      <c r="EO17" s="782"/>
      <c r="EP17" s="782"/>
      <c r="EQ17" s="782"/>
      <c r="ER17" s="782"/>
      <c r="ES17" s="782"/>
      <c r="ET17" s="782"/>
      <c r="EU17" s="782"/>
      <c r="EV17" s="782"/>
      <c r="EW17" s="782"/>
      <c r="EX17" s="782"/>
      <c r="EY17" s="782"/>
      <c r="EZ17" s="782"/>
      <c r="FA17" s="782"/>
      <c r="FB17" s="782"/>
      <c r="FC17" s="782"/>
      <c r="FD17" s="782"/>
      <c r="FE17" s="782"/>
      <c r="FF17" s="782"/>
      <c r="FG17" s="782"/>
      <c r="FH17" s="782"/>
      <c r="FI17" s="782"/>
      <c r="FJ17" s="782"/>
      <c r="FK17" s="782"/>
      <c r="FL17" s="782"/>
      <c r="FM17" s="782"/>
      <c r="FN17" s="782"/>
      <c r="FO17" s="782"/>
      <c r="FP17" s="782"/>
      <c r="FQ17" s="782"/>
      <c r="FR17" s="782"/>
      <c r="FS17" s="782"/>
      <c r="FT17" s="782"/>
      <c r="FU17" s="782"/>
      <c r="FV17" s="782"/>
      <c r="FW17" s="779"/>
      <c r="FX17" s="50"/>
    </row>
    <row r="18" s="765" customFormat="true" ht="12" hidden="true" customHeight="true" outlineLevel="0" collapsed="false">
      <c r="B18" s="766"/>
      <c r="E18" s="785"/>
      <c r="F18" s="786"/>
      <c r="G18" s="786"/>
      <c r="H18" s="786"/>
      <c r="I18" s="786"/>
      <c r="J18" s="787"/>
      <c r="K18" s="787"/>
      <c r="L18" s="787"/>
      <c r="M18" s="787"/>
      <c r="N18" s="787"/>
      <c r="O18" s="786"/>
      <c r="P18" s="786"/>
      <c r="Q18" s="786"/>
      <c r="R18" s="786"/>
      <c r="S18" s="786"/>
      <c r="T18" s="786"/>
      <c r="U18" s="788"/>
      <c r="V18" s="788"/>
      <c r="W18" s="788"/>
      <c r="X18" s="788"/>
      <c r="Y18" s="788"/>
      <c r="Z18" s="788"/>
      <c r="AA18" s="788"/>
      <c r="AB18" s="786"/>
      <c r="AC18" s="787"/>
      <c r="AD18" s="787"/>
      <c r="AE18" s="787"/>
      <c r="AF18" s="787"/>
      <c r="AG18" s="787"/>
      <c r="AH18" s="787"/>
      <c r="AI18" s="787"/>
      <c r="AJ18" s="787"/>
      <c r="AK18" s="787"/>
      <c r="AL18" s="787"/>
      <c r="AM18" s="787"/>
      <c r="AN18" s="787"/>
      <c r="AO18" s="787"/>
      <c r="AP18" s="787"/>
      <c r="AQ18" s="787"/>
      <c r="AR18" s="787"/>
      <c r="AS18" s="787"/>
      <c r="AT18" s="787"/>
      <c r="AU18" s="787"/>
      <c r="AV18" s="787"/>
      <c r="AW18" s="787"/>
      <c r="AX18" s="787"/>
      <c r="AY18" s="787"/>
      <c r="AZ18" s="787"/>
      <c r="BA18" s="787"/>
      <c r="BB18" s="787"/>
      <c r="BC18" s="787"/>
      <c r="BD18" s="787"/>
      <c r="BE18" s="787"/>
      <c r="BF18" s="787"/>
      <c r="BG18" s="787"/>
      <c r="BH18" s="787"/>
      <c r="BI18" s="787"/>
      <c r="BJ18" s="787"/>
      <c r="BK18" s="787"/>
      <c r="BL18" s="787"/>
      <c r="BM18" s="787"/>
      <c r="BN18" s="787"/>
      <c r="BO18" s="787"/>
      <c r="BP18" s="787"/>
      <c r="BQ18" s="787"/>
      <c r="BR18" s="787"/>
      <c r="BS18" s="787"/>
      <c r="BT18" s="789"/>
      <c r="BU18" s="789"/>
      <c r="BV18" s="789"/>
      <c r="BW18" s="789"/>
      <c r="BX18" s="789"/>
      <c r="BY18" s="789"/>
      <c r="BZ18" s="789"/>
      <c r="CA18" s="789"/>
      <c r="CB18" s="789"/>
      <c r="CC18" s="789"/>
      <c r="CD18" s="789"/>
      <c r="CE18" s="789"/>
      <c r="CF18" s="789"/>
      <c r="CG18" s="789"/>
      <c r="CH18" s="789"/>
      <c r="CI18" s="789"/>
      <c r="CJ18" s="789"/>
      <c r="CK18" s="789"/>
      <c r="CL18" s="787"/>
      <c r="CM18" s="787"/>
      <c r="CN18" s="787"/>
      <c r="CO18" s="787"/>
      <c r="CP18" s="787"/>
      <c r="CQ18" s="787"/>
      <c r="CR18" s="787"/>
      <c r="CS18" s="787"/>
      <c r="CT18" s="787"/>
      <c r="CU18" s="787"/>
      <c r="CV18" s="787"/>
      <c r="CW18" s="787"/>
      <c r="CX18" s="787"/>
      <c r="CY18" s="789"/>
      <c r="CZ18" s="789"/>
      <c r="DA18" s="789"/>
      <c r="DB18" s="789"/>
      <c r="DC18" s="789"/>
      <c r="DD18" s="789"/>
      <c r="DE18" s="789"/>
      <c r="DF18" s="789"/>
      <c r="DG18" s="789"/>
      <c r="DH18" s="789"/>
      <c r="DI18" s="789"/>
      <c r="DJ18" s="789"/>
      <c r="DK18" s="787"/>
      <c r="DL18" s="787"/>
      <c r="DM18" s="787"/>
      <c r="DN18" s="787"/>
      <c r="DO18" s="787"/>
      <c r="DP18" s="787"/>
      <c r="DQ18" s="787"/>
      <c r="DR18" s="787"/>
      <c r="DS18" s="787"/>
      <c r="DT18" s="787"/>
      <c r="DU18" s="787"/>
      <c r="DV18" s="787"/>
      <c r="DW18" s="787"/>
      <c r="DX18" s="787"/>
      <c r="DY18" s="787"/>
      <c r="DZ18" s="787"/>
      <c r="EA18" s="787"/>
      <c r="EB18" s="787"/>
      <c r="EC18" s="787"/>
      <c r="ED18" s="787"/>
      <c r="EE18" s="787"/>
      <c r="EF18" s="787"/>
      <c r="EG18" s="787"/>
      <c r="EH18" s="787"/>
      <c r="EI18" s="787"/>
      <c r="EJ18" s="787"/>
      <c r="EK18" s="787"/>
      <c r="EL18" s="787"/>
      <c r="EM18" s="787"/>
      <c r="EN18" s="787"/>
      <c r="EO18" s="787"/>
      <c r="EP18" s="787"/>
      <c r="EQ18" s="787"/>
      <c r="ER18" s="787"/>
      <c r="ES18" s="787"/>
      <c r="ET18" s="787"/>
      <c r="EU18" s="787"/>
      <c r="EV18" s="787"/>
      <c r="EW18" s="787"/>
      <c r="EX18" s="787"/>
      <c r="EY18" s="787"/>
      <c r="EZ18" s="787"/>
      <c r="FA18" s="787"/>
      <c r="FB18" s="787"/>
      <c r="FC18" s="787"/>
      <c r="FD18" s="787"/>
      <c r="FE18" s="787"/>
      <c r="FF18" s="787"/>
      <c r="FG18" s="787"/>
      <c r="FH18" s="787"/>
      <c r="FI18" s="787"/>
      <c r="FJ18" s="787"/>
      <c r="FK18" s="787"/>
      <c r="FL18" s="787"/>
      <c r="FM18" s="787"/>
      <c r="FN18" s="787"/>
      <c r="FO18" s="787"/>
      <c r="FP18" s="787"/>
      <c r="FQ18" s="787"/>
      <c r="FR18" s="787"/>
      <c r="FS18" s="787"/>
      <c r="FT18" s="787"/>
      <c r="FU18" s="787"/>
      <c r="FV18" s="787"/>
      <c r="FW18" s="786"/>
      <c r="FX18" s="790"/>
    </row>
    <row r="19" s="765" customFormat="true" ht="11.25" hidden="true" customHeight="true" outlineLevel="0" collapsed="false">
      <c r="B19" s="766"/>
      <c r="E19" s="785"/>
      <c r="F19" s="786"/>
      <c r="G19" s="786"/>
      <c r="H19" s="786"/>
      <c r="I19" s="786"/>
      <c r="J19" s="786"/>
      <c r="K19" s="786"/>
      <c r="L19" s="786"/>
      <c r="M19" s="786"/>
      <c r="N19" s="786"/>
      <c r="O19" s="786"/>
      <c r="P19" s="786"/>
      <c r="Q19" s="786"/>
      <c r="R19" s="786"/>
      <c r="S19" s="786"/>
      <c r="T19" s="786"/>
      <c r="U19" s="788"/>
      <c r="V19" s="788"/>
      <c r="W19" s="788"/>
      <c r="X19" s="788"/>
      <c r="Y19" s="788"/>
      <c r="Z19" s="788"/>
      <c r="AA19" s="788"/>
      <c r="AB19" s="786"/>
      <c r="AC19" s="786"/>
      <c r="AD19" s="786"/>
      <c r="AE19" s="786"/>
      <c r="AF19" s="786"/>
      <c r="AG19" s="786"/>
      <c r="AH19" s="786"/>
      <c r="AI19" s="786"/>
      <c r="AJ19" s="786"/>
      <c r="AK19" s="786"/>
      <c r="AL19" s="786"/>
      <c r="AM19" s="786"/>
      <c r="AN19" s="786"/>
      <c r="AO19" s="786"/>
      <c r="AP19" s="786"/>
      <c r="AQ19" s="786"/>
      <c r="AR19" s="786"/>
      <c r="AS19" s="786"/>
      <c r="AT19" s="786"/>
      <c r="AU19" s="786"/>
      <c r="AV19" s="786"/>
      <c r="AW19" s="786"/>
      <c r="AX19" s="786"/>
      <c r="AY19" s="786"/>
      <c r="AZ19" s="786"/>
      <c r="BA19" s="786"/>
      <c r="BB19" s="786"/>
      <c r="BC19" s="786"/>
      <c r="BD19" s="786"/>
      <c r="BE19" s="786"/>
      <c r="BF19" s="786"/>
      <c r="BG19" s="786"/>
      <c r="BH19" s="786"/>
      <c r="BI19" s="786"/>
      <c r="BJ19" s="786"/>
      <c r="BK19" s="786"/>
      <c r="BL19" s="786"/>
      <c r="BM19" s="786"/>
      <c r="BN19" s="786"/>
      <c r="BO19" s="786"/>
      <c r="BP19" s="786"/>
      <c r="BQ19" s="786"/>
      <c r="BR19" s="786"/>
      <c r="BS19" s="786"/>
      <c r="BT19" s="786"/>
      <c r="BU19" s="786"/>
      <c r="BV19" s="786"/>
      <c r="BW19" s="786"/>
      <c r="BX19" s="786"/>
      <c r="BY19" s="786"/>
      <c r="BZ19" s="786"/>
      <c r="CA19" s="786"/>
      <c r="CB19" s="786"/>
      <c r="CC19" s="786"/>
      <c r="CD19" s="786"/>
      <c r="CE19" s="786"/>
      <c r="CF19" s="786"/>
      <c r="CG19" s="786"/>
      <c r="CH19" s="786"/>
      <c r="CI19" s="786"/>
      <c r="CJ19" s="786"/>
      <c r="CK19" s="786"/>
      <c r="CL19" s="786"/>
      <c r="CM19" s="786"/>
      <c r="CN19" s="786"/>
      <c r="CO19" s="786"/>
      <c r="CP19" s="786"/>
      <c r="CQ19" s="786"/>
      <c r="CR19" s="786"/>
      <c r="CS19" s="786"/>
      <c r="CT19" s="786"/>
      <c r="CU19" s="786"/>
      <c r="CV19" s="786"/>
      <c r="CW19" s="786"/>
      <c r="CX19" s="786"/>
      <c r="CY19" s="786"/>
      <c r="CZ19" s="786"/>
      <c r="DA19" s="786"/>
      <c r="DB19" s="786"/>
      <c r="DC19" s="786"/>
      <c r="DD19" s="786"/>
      <c r="DE19" s="786"/>
      <c r="DF19" s="786"/>
      <c r="DG19" s="786"/>
      <c r="DH19" s="786"/>
      <c r="DI19" s="786"/>
      <c r="DJ19" s="786"/>
      <c r="DK19" s="786"/>
      <c r="DL19" s="786"/>
      <c r="DM19" s="786"/>
      <c r="DN19" s="786"/>
      <c r="DO19" s="786"/>
      <c r="DP19" s="786"/>
      <c r="DQ19" s="786"/>
      <c r="DR19" s="786"/>
      <c r="DS19" s="786"/>
      <c r="DT19" s="786"/>
      <c r="DU19" s="786"/>
      <c r="DV19" s="786"/>
      <c r="DW19" s="786"/>
      <c r="DX19" s="786"/>
      <c r="DY19" s="786"/>
      <c r="DZ19" s="786"/>
      <c r="EA19" s="786"/>
      <c r="EB19" s="786"/>
      <c r="EC19" s="786"/>
      <c r="ED19" s="786"/>
      <c r="EE19" s="786"/>
      <c r="EF19" s="786"/>
      <c r="EG19" s="786"/>
      <c r="EH19" s="786"/>
      <c r="EI19" s="786"/>
      <c r="EJ19" s="786"/>
      <c r="EK19" s="786"/>
      <c r="EL19" s="786"/>
      <c r="EM19" s="786"/>
      <c r="EN19" s="786"/>
      <c r="EO19" s="786"/>
      <c r="EP19" s="786"/>
      <c r="EQ19" s="786"/>
      <c r="ER19" s="786"/>
      <c r="ES19" s="786"/>
      <c r="ET19" s="786"/>
      <c r="EU19" s="786"/>
      <c r="EV19" s="786"/>
      <c r="EW19" s="786"/>
      <c r="EX19" s="786"/>
      <c r="EY19" s="786"/>
      <c r="EZ19" s="786"/>
      <c r="FA19" s="786"/>
      <c r="FB19" s="786"/>
      <c r="FC19" s="786"/>
      <c r="FD19" s="786"/>
      <c r="FE19" s="786"/>
      <c r="FF19" s="786"/>
      <c r="FG19" s="786"/>
      <c r="FH19" s="786"/>
      <c r="FI19" s="786"/>
      <c r="FJ19" s="786"/>
      <c r="FK19" s="786"/>
      <c r="FL19" s="786"/>
      <c r="FM19" s="786"/>
      <c r="FN19" s="786"/>
      <c r="FO19" s="786"/>
      <c r="FP19" s="786"/>
      <c r="FQ19" s="786"/>
      <c r="FR19" s="786"/>
      <c r="FS19" s="786"/>
      <c r="FT19" s="786"/>
      <c r="FU19" s="786"/>
      <c r="FV19" s="786"/>
      <c r="FW19" s="786"/>
      <c r="FX19" s="790"/>
    </row>
    <row r="20" s="765" customFormat="true" ht="11.25" hidden="true" customHeight="true" outlineLevel="0" collapsed="false">
      <c r="B20" s="766"/>
      <c r="E20" s="785"/>
      <c r="F20" s="791" t="s">
        <v>392</v>
      </c>
      <c r="G20" s="271"/>
      <c r="H20" s="792"/>
      <c r="I20" s="792"/>
      <c r="J20" s="792"/>
      <c r="K20" s="792"/>
      <c r="L20" s="792"/>
      <c r="M20" s="792"/>
      <c r="N20" s="792"/>
      <c r="O20" s="271"/>
      <c r="P20" s="271"/>
      <c r="Q20" s="271"/>
      <c r="R20" s="271"/>
      <c r="S20" s="271"/>
      <c r="T20" s="271"/>
      <c r="U20" s="793"/>
      <c r="V20" s="793"/>
      <c r="W20" s="793"/>
      <c r="X20" s="793"/>
      <c r="Y20" s="793"/>
      <c r="Z20" s="793"/>
      <c r="AA20" s="793"/>
      <c r="AB20" s="271"/>
      <c r="AC20" s="792"/>
      <c r="AD20" s="792"/>
      <c r="AE20" s="792"/>
      <c r="AF20" s="792"/>
      <c r="AG20" s="792"/>
      <c r="AH20" s="792"/>
      <c r="AI20" s="792"/>
      <c r="AJ20" s="792"/>
      <c r="AK20" s="792"/>
      <c r="AL20" s="792"/>
      <c r="AM20" s="792"/>
      <c r="AN20" s="792"/>
      <c r="AO20" s="792"/>
      <c r="AP20" s="792"/>
      <c r="AQ20" s="792"/>
      <c r="AR20" s="792"/>
      <c r="AS20" s="792"/>
      <c r="AT20" s="792"/>
      <c r="AU20" s="792"/>
      <c r="AV20" s="792"/>
      <c r="AW20" s="792"/>
      <c r="AX20" s="792"/>
      <c r="AY20" s="792"/>
      <c r="AZ20" s="792"/>
      <c r="BA20" s="792"/>
      <c r="BB20" s="792"/>
      <c r="BC20" s="792"/>
      <c r="BD20" s="792"/>
      <c r="BE20" s="792"/>
      <c r="BF20" s="792"/>
      <c r="BG20" s="792"/>
      <c r="BH20" s="792"/>
      <c r="BI20" s="792"/>
      <c r="BJ20" s="792"/>
      <c r="BK20" s="792"/>
      <c r="BL20" s="792"/>
      <c r="BM20" s="792"/>
      <c r="BN20" s="792"/>
      <c r="BO20" s="792"/>
      <c r="BP20" s="792"/>
      <c r="BQ20" s="792"/>
      <c r="BR20" s="792"/>
      <c r="BS20" s="792"/>
      <c r="BT20" s="792"/>
      <c r="BU20" s="792"/>
      <c r="BV20" s="792"/>
      <c r="BW20" s="792"/>
      <c r="BX20" s="792"/>
      <c r="BY20" s="792"/>
      <c r="BZ20" s="792"/>
      <c r="CA20" s="792"/>
      <c r="CB20" s="792"/>
      <c r="CC20" s="792"/>
      <c r="CD20" s="792"/>
      <c r="CE20" s="792"/>
      <c r="CF20" s="792"/>
      <c r="CG20" s="792"/>
      <c r="CH20" s="792"/>
      <c r="CI20" s="792"/>
      <c r="CJ20" s="792"/>
      <c r="CK20" s="792"/>
      <c r="CL20" s="794"/>
      <c r="CM20" s="794"/>
      <c r="CN20" s="794"/>
      <c r="CO20" s="794"/>
      <c r="CP20" s="794"/>
      <c r="CQ20" s="794"/>
      <c r="CR20" s="794"/>
      <c r="CS20" s="794"/>
      <c r="CT20" s="794"/>
      <c r="CU20" s="794"/>
      <c r="CV20" s="794"/>
      <c r="CW20" s="794"/>
      <c r="CX20" s="794"/>
      <c r="CY20" s="794"/>
      <c r="CZ20" s="794"/>
      <c r="DA20" s="794"/>
      <c r="DB20" s="794"/>
      <c r="DC20" s="794"/>
      <c r="DD20" s="794"/>
      <c r="DE20" s="794"/>
      <c r="DF20" s="794"/>
      <c r="DG20" s="794"/>
      <c r="DH20" s="794"/>
      <c r="DI20" s="794"/>
      <c r="DJ20" s="794"/>
      <c r="DK20" s="794"/>
      <c r="DL20" s="794"/>
      <c r="DM20" s="794"/>
      <c r="DN20" s="794"/>
      <c r="DO20" s="794"/>
      <c r="DP20" s="794"/>
      <c r="DQ20" s="794"/>
      <c r="DR20" s="794"/>
      <c r="DS20" s="794"/>
      <c r="DT20" s="794"/>
      <c r="DU20" s="794"/>
      <c r="DV20" s="794"/>
      <c r="DW20" s="794"/>
      <c r="DX20" s="794"/>
      <c r="DY20" s="794"/>
      <c r="DZ20" s="794"/>
      <c r="EA20" s="794"/>
      <c r="EB20" s="794"/>
      <c r="EC20" s="794"/>
      <c r="ED20" s="794"/>
      <c r="EE20" s="794"/>
      <c r="EF20" s="794"/>
      <c r="EG20" s="794"/>
      <c r="EH20" s="794"/>
      <c r="EI20" s="794"/>
      <c r="EJ20" s="794"/>
      <c r="EK20" s="794"/>
      <c r="EL20" s="794"/>
      <c r="EM20" s="794"/>
      <c r="EN20" s="794"/>
      <c r="EO20" s="794"/>
      <c r="EP20" s="794"/>
      <c r="EQ20" s="794"/>
      <c r="ER20" s="794"/>
      <c r="ES20" s="794"/>
      <c r="ET20" s="794"/>
      <c r="EU20" s="794"/>
      <c r="EV20" s="794"/>
      <c r="EW20" s="794"/>
      <c r="EX20" s="794"/>
      <c r="EY20" s="794"/>
      <c r="EZ20" s="794"/>
      <c r="FA20" s="794"/>
      <c r="FB20" s="794"/>
      <c r="FC20" s="794"/>
      <c r="FD20" s="794"/>
      <c r="FE20" s="794"/>
      <c r="FF20" s="794"/>
      <c r="FG20" s="794"/>
      <c r="FH20" s="794"/>
      <c r="FI20" s="794"/>
      <c r="FJ20" s="794"/>
      <c r="FK20" s="794"/>
      <c r="FL20" s="794"/>
      <c r="FM20" s="794"/>
      <c r="FN20" s="794"/>
      <c r="FO20" s="794"/>
      <c r="FP20" s="794"/>
      <c r="FQ20" s="794"/>
      <c r="FR20" s="794"/>
      <c r="FS20" s="794"/>
      <c r="FT20" s="794"/>
      <c r="FU20" s="794"/>
      <c r="FV20" s="794"/>
      <c r="FW20" s="794"/>
      <c r="FX20" s="790"/>
    </row>
    <row r="21" s="765" customFormat="true" ht="12" hidden="false" customHeight="true" outlineLevel="0" collapsed="false">
      <c r="A21" s="767"/>
      <c r="B21" s="767"/>
      <c r="C21" s="767"/>
      <c r="D21" s="767"/>
      <c r="E21" s="767"/>
      <c r="F21" s="785"/>
      <c r="G21" s="785"/>
      <c r="H21" s="785"/>
      <c r="I21" s="785"/>
      <c r="J21" s="785"/>
      <c r="K21" s="785"/>
      <c r="L21" s="785"/>
      <c r="M21" s="785"/>
      <c r="N21" s="785"/>
      <c r="O21" s="785"/>
      <c r="P21" s="785"/>
      <c r="Q21" s="785"/>
      <c r="R21" s="785"/>
      <c r="S21" s="795"/>
      <c r="T21" s="795"/>
      <c r="U21" s="785"/>
      <c r="V21" s="785"/>
      <c r="W21" s="785"/>
      <c r="X21" s="785"/>
      <c r="Y21" s="785"/>
      <c r="Z21" s="785"/>
      <c r="AA21" s="785"/>
      <c r="AB21" s="785"/>
      <c r="AC21" s="785"/>
      <c r="AD21" s="785"/>
      <c r="AE21" s="785"/>
      <c r="AF21" s="785"/>
      <c r="AG21" s="785"/>
      <c r="AH21" s="785"/>
      <c r="AI21" s="785"/>
      <c r="AJ21" s="785"/>
      <c r="AK21" s="785"/>
      <c r="AL21" s="785"/>
      <c r="AM21" s="785"/>
      <c r="AN21" s="785"/>
      <c r="AO21" s="785"/>
      <c r="AP21" s="785"/>
      <c r="AQ21" s="785"/>
      <c r="AR21" s="785"/>
      <c r="AS21" s="785"/>
      <c r="AT21" s="785"/>
      <c r="AU21" s="785"/>
      <c r="AV21" s="785"/>
      <c r="AW21" s="785"/>
      <c r="AX21" s="785"/>
      <c r="AY21" s="785"/>
      <c r="AZ21" s="785"/>
      <c r="BA21" s="785"/>
      <c r="BB21" s="785"/>
      <c r="BC21" s="785"/>
      <c r="BD21" s="785"/>
      <c r="BE21" s="785"/>
      <c r="BF21" s="785"/>
      <c r="BG21" s="785"/>
      <c r="BH21" s="785"/>
      <c r="BI21" s="785"/>
      <c r="BJ21" s="785"/>
      <c r="BK21" s="785"/>
      <c r="BL21" s="785"/>
      <c r="BM21" s="785"/>
      <c r="BN21" s="785"/>
      <c r="BO21" s="785"/>
      <c r="BP21" s="785"/>
      <c r="BQ21" s="785"/>
      <c r="BR21" s="785"/>
      <c r="BS21" s="785"/>
      <c r="BT21" s="785"/>
      <c r="BU21" s="785"/>
      <c r="BV21" s="785"/>
      <c r="BW21" s="785"/>
      <c r="BX21" s="785"/>
      <c r="BY21" s="785"/>
      <c r="BZ21" s="785"/>
      <c r="CA21" s="785"/>
      <c r="CB21" s="785"/>
      <c r="CC21" s="785"/>
      <c r="CD21" s="785"/>
      <c r="CE21" s="785"/>
      <c r="CF21" s="785"/>
      <c r="CG21" s="785"/>
      <c r="CH21" s="785"/>
      <c r="CI21" s="785"/>
      <c r="CJ21" s="785"/>
      <c r="CK21" s="785"/>
      <c r="CL21" s="785"/>
      <c r="CM21" s="785"/>
      <c r="CN21" s="785"/>
      <c r="CO21" s="785"/>
      <c r="CP21" s="785"/>
      <c r="CQ21" s="785"/>
      <c r="CR21" s="785"/>
      <c r="CS21" s="785"/>
      <c r="CT21" s="785"/>
      <c r="CU21" s="785"/>
      <c r="CV21" s="785"/>
      <c r="CW21" s="785"/>
      <c r="CX21" s="785"/>
      <c r="CY21" s="785"/>
      <c r="CZ21" s="785"/>
      <c r="DA21" s="785"/>
      <c r="DB21" s="785"/>
      <c r="DC21" s="785"/>
      <c r="DD21" s="785"/>
      <c r="DE21" s="785"/>
      <c r="DF21" s="785"/>
      <c r="DG21" s="785"/>
      <c r="DH21" s="785"/>
      <c r="DI21" s="785"/>
      <c r="DJ21" s="785"/>
      <c r="DK21" s="785"/>
      <c r="DL21" s="785"/>
      <c r="DM21" s="785"/>
      <c r="DN21" s="785"/>
      <c r="DO21" s="785"/>
      <c r="DP21" s="785"/>
      <c r="DQ21" s="785"/>
      <c r="DR21" s="785"/>
      <c r="DS21" s="785"/>
      <c r="DT21" s="785"/>
      <c r="DU21" s="785"/>
      <c r="DV21" s="785"/>
      <c r="DW21" s="785"/>
      <c r="DX21" s="785"/>
      <c r="DY21" s="785"/>
      <c r="DZ21" s="785"/>
      <c r="EA21" s="785"/>
      <c r="EB21" s="785"/>
      <c r="EC21" s="785"/>
      <c r="ED21" s="785"/>
      <c r="EE21" s="785"/>
      <c r="EF21" s="785"/>
      <c r="EG21" s="785"/>
      <c r="EH21" s="785"/>
      <c r="EI21" s="785"/>
      <c r="EJ21" s="785"/>
      <c r="EK21" s="785"/>
      <c r="EL21" s="785"/>
      <c r="EM21" s="785"/>
      <c r="EN21" s="785"/>
      <c r="EO21" s="785"/>
      <c r="EP21" s="785"/>
      <c r="EQ21" s="785"/>
      <c r="ER21" s="785"/>
      <c r="ES21" s="785"/>
      <c r="ET21" s="785"/>
      <c r="EU21" s="785"/>
      <c r="EV21" s="785"/>
      <c r="EW21" s="785"/>
      <c r="EX21" s="785"/>
      <c r="EY21" s="785"/>
      <c r="EZ21" s="785"/>
      <c r="FA21" s="785"/>
      <c r="FB21" s="785"/>
      <c r="FC21" s="785"/>
      <c r="FD21" s="785"/>
      <c r="FE21" s="785"/>
      <c r="FF21" s="785"/>
      <c r="FG21" s="785"/>
      <c r="FH21" s="785"/>
      <c r="FI21" s="785"/>
      <c r="FJ21" s="785"/>
      <c r="FK21" s="785"/>
      <c r="FL21" s="785"/>
      <c r="FM21" s="785"/>
      <c r="FN21" s="785"/>
      <c r="FO21" s="785"/>
      <c r="FP21" s="785"/>
      <c r="FQ21" s="785"/>
      <c r="FR21" s="785"/>
      <c r="FS21" s="785"/>
      <c r="FT21" s="785"/>
      <c r="FU21" s="785"/>
      <c r="FV21" s="785"/>
      <c r="FW21" s="785"/>
      <c r="FX21" s="767"/>
      <c r="FY21" s="767"/>
      <c r="FZ21" s="767"/>
      <c r="GA21" s="767"/>
      <c r="GB21" s="767"/>
    </row>
    <row r="22" s="765" customFormat="true" ht="12" hidden="false" customHeight="true" outlineLevel="0" collapsed="false">
      <c r="A22" s="767"/>
      <c r="B22" s="767"/>
      <c r="C22" s="767"/>
      <c r="D22" s="767"/>
      <c r="E22" s="767"/>
      <c r="FX22" s="767"/>
      <c r="FY22" s="767"/>
      <c r="FZ22" s="767"/>
      <c r="GA22" s="767"/>
      <c r="GB22" s="767"/>
    </row>
    <row r="23" s="763" customFormat="true" ht="12" hidden="false" customHeight="true" outlineLevel="0" collapsed="false">
      <c r="A23" s="767"/>
      <c r="B23" s="767"/>
      <c r="C23" s="767"/>
      <c r="D23" s="767"/>
      <c r="E23" s="767"/>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764"/>
      <c r="BU23" s="764"/>
      <c r="BV23" s="764"/>
      <c r="BW23" s="764"/>
      <c r="BX23" s="764"/>
      <c r="BY23" s="764"/>
      <c r="BZ23" s="764"/>
      <c r="CA23" s="764"/>
      <c r="CB23" s="764"/>
      <c r="CC23" s="764"/>
      <c r="CD23" s="764"/>
      <c r="CE23" s="764"/>
      <c r="CF23" s="764"/>
      <c r="CG23" s="764"/>
      <c r="CH23" s="764"/>
      <c r="CI23" s="764"/>
      <c r="CJ23" s="764"/>
      <c r="CK23" s="764"/>
      <c r="CL23" s="764"/>
      <c r="CM23" s="764"/>
      <c r="CN23" s="764"/>
      <c r="CO23" s="764"/>
      <c r="CP23" s="764"/>
      <c r="CQ23" s="764"/>
      <c r="CR23" s="764"/>
      <c r="CS23" s="764"/>
      <c r="CT23" s="764"/>
      <c r="CU23" s="764"/>
      <c r="CV23" s="764"/>
      <c r="CW23" s="764"/>
      <c r="CX23" s="764"/>
      <c r="CY23" s="764"/>
      <c r="CZ23" s="764"/>
      <c r="DA23" s="764"/>
      <c r="DB23" s="764"/>
      <c r="DC23" s="764"/>
      <c r="DD23" s="764"/>
      <c r="DE23" s="764"/>
      <c r="DF23" s="764"/>
      <c r="DG23" s="764"/>
      <c r="DH23" s="764"/>
      <c r="DI23" s="764"/>
      <c r="DJ23" s="764"/>
      <c r="DK23" s="764"/>
      <c r="DL23" s="764"/>
      <c r="DM23" s="764"/>
      <c r="DN23" s="764"/>
      <c r="DO23" s="764"/>
      <c r="DP23" s="764"/>
      <c r="DQ23" s="764"/>
      <c r="DR23" s="764"/>
      <c r="DS23" s="764"/>
      <c r="DT23" s="764"/>
      <c r="DU23" s="764"/>
      <c r="DV23" s="764"/>
      <c r="DW23" s="764"/>
      <c r="DX23" s="764"/>
      <c r="FX23" s="767"/>
      <c r="FY23" s="767"/>
      <c r="FZ23" s="767"/>
      <c r="GA23" s="767"/>
      <c r="GB23" s="767"/>
    </row>
    <row r="24" customFormat="false" ht="12" hidden="false" customHeight="true" outlineLevel="0" collapsed="false">
      <c r="S24" s="767"/>
      <c r="T24" s="767"/>
      <c r="U24" s="767"/>
      <c r="V24" s="767"/>
      <c r="W24" s="767"/>
      <c r="X24" s="767"/>
      <c r="Y24" s="767"/>
      <c r="Z24" s="767"/>
      <c r="AA24" s="767"/>
      <c r="AB24" s="767"/>
      <c r="FX24" s="767"/>
      <c r="FY24" s="767"/>
      <c r="FZ24" s="767"/>
      <c r="GA24" s="767"/>
      <c r="GB24" s="767"/>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R2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5" zeroHeight="false" outlineLevelRow="0" outlineLevelCol="0"/>
  <cols>
    <col collapsed="false" customWidth="true" hidden="true" outlineLevel="0" max="1" min="1" style="45" width="9.14"/>
    <col collapsed="false" customWidth="true" hidden="true" outlineLevel="0" max="2" min="2" style="42" width="9.14"/>
    <col collapsed="false" customWidth="true" hidden="false" outlineLevel="0" max="3" min="3" style="137" width="4.71"/>
    <col collapsed="false" customWidth="true" hidden="false" outlineLevel="0" max="4" min="4" style="42" width="6.28"/>
    <col collapsed="false" customWidth="true" hidden="false" outlineLevel="0" max="5" min="5" style="42" width="36.71"/>
    <col collapsed="false" customWidth="true" hidden="false" outlineLevel="0" max="6" min="6" style="42" width="9.57"/>
    <col collapsed="false" customWidth="true" hidden="true" outlineLevel="0" max="7" min="7" style="42" width="42.42"/>
    <col collapsed="false" customWidth="true" hidden="false" outlineLevel="0" max="8" min="8" style="42" width="40.71"/>
    <col collapsed="false" customWidth="true" hidden="false" outlineLevel="0" max="9" min="9" style="45" width="93.42"/>
    <col collapsed="false" customWidth="false" hidden="false" outlineLevel="0" max="17" min="10" style="42" width="10.57"/>
    <col collapsed="false" customWidth="false" hidden="false" outlineLevel="0" max="18" min="18" style="103" width="10.57"/>
  </cols>
  <sheetData>
    <row r="1" s="45" customFormat="true" ht="15" hidden="true" customHeight="true" outlineLevel="0" collapsed="false">
      <c r="C1" s="44"/>
      <c r="H1" s="45" t="n">
        <v>4</v>
      </c>
      <c r="R1" s="154"/>
    </row>
    <row r="2" customFormat="false" ht="22.5" hidden="true" customHeight="true" outlineLevel="0" collapsed="false">
      <c r="C2" s="796" t="s">
        <v>100</v>
      </c>
      <c r="D2" s="197"/>
      <c r="E2" s="337"/>
      <c r="F2" s="145" t="str">
        <f aca="false">IF(TEMPLATE_SPHERE="HEAT","Гкал/час","тыс. куб. м/сутки")</f>
        <v>тыс. куб. м/сутки</v>
      </c>
      <c r="G2" s="698"/>
      <c r="H2" s="698"/>
      <c r="I2" s="420"/>
    </row>
    <row r="3" s="45" customFormat="true" ht="15" hidden="true" customHeight="true" outlineLevel="0" collapsed="false">
      <c r="C3" s="44"/>
      <c r="R3" s="154"/>
    </row>
    <row r="5" customFormat="false" ht="37.5" hidden="false" customHeight="true" outlineLevel="0" collapsed="false">
      <c r="D5" s="212" t="str">
        <f aca="false">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2"/>
      <c r="F5" s="212"/>
      <c r="G5" s="212"/>
      <c r="H5" s="212"/>
    </row>
    <row r="6" customFormat="false" ht="15" hidden="false" customHeight="true" outlineLevel="0" collapsed="false">
      <c r="D6" s="265" t="str">
        <f aca="false">IF(org=0,"Не определено",org)</f>
        <v>ООО "Газпром теплоэнерго Ярославль"</v>
      </c>
      <c r="E6" s="265"/>
      <c r="F6" s="265"/>
      <c r="G6" s="265"/>
      <c r="H6" s="265"/>
    </row>
    <row r="7" s="42" customFormat="true" ht="15" hidden="false" customHeight="true" outlineLevel="0" collapsed="false">
      <c r="A7" s="45"/>
      <c r="C7" s="137"/>
      <c r="D7" s="75"/>
      <c r="E7" s="75"/>
      <c r="F7" s="75"/>
      <c r="G7" s="75"/>
      <c r="H7" s="296"/>
      <c r="I7" s="45"/>
      <c r="R7" s="103"/>
    </row>
    <row r="8" customFormat="false" ht="0.75" hidden="false" customHeight="true" outlineLevel="0" collapsed="false">
      <c r="H8" s="45" t="s">
        <v>124</v>
      </c>
    </row>
    <row r="9" customFormat="false" ht="15" hidden="false" customHeight="true" outlineLevel="0" collapsed="false">
      <c r="D9" s="604"/>
      <c r="E9" s="605" t="s">
        <v>113</v>
      </c>
      <c r="F9" s="605"/>
      <c r="G9" s="797" t="str">
        <f aca="false">IF(G8="","",INDEX(DIFFERENTIATION_UNMERGE_VD,MATCH(G8,DIFFERENTIATION_ID_DIFF,0)))</f>
        <v/>
      </c>
      <c r="H9" s="797" t="n">
        <f aca="false">IF(H8="","",INDEX(DIFFERENTIATION_UNMERGE_VD,MATCH(H8,DIFFERENTIATION_ID_DIFF,0)))</f>
        <v>0</v>
      </c>
      <c r="I9" s="133" t="s">
        <v>317</v>
      </c>
    </row>
    <row r="10" s="42" customFormat="true" ht="15" hidden="false" customHeight="true" outlineLevel="0" collapsed="false">
      <c r="A10" s="45"/>
      <c r="C10" s="137"/>
      <c r="D10" s="604"/>
      <c r="E10" s="605" t="s">
        <v>585</v>
      </c>
      <c r="F10" s="605"/>
      <c r="G10" s="797" t="str">
        <f aca="false">IF(G8="","",INDEX(DIFFERENTIATION_UNMERGE_AREA,MATCH(G8,DIFFERENTIATION_ID_DIFF,0)))</f>
        <v/>
      </c>
      <c r="H10" s="797" t="str">
        <f aca="false">IF(H8="","",INDEX(DIFFERENTIATION_UNMERGE_AREA,MATCH(H8,DIFFERENTIATION_ID_DIFF,0)))</f>
        <v/>
      </c>
      <c r="I10" s="133"/>
      <c r="R10" s="103"/>
    </row>
    <row r="11" s="42" customFormat="true" ht="15" hidden="false" customHeight="true" outlineLevel="0" collapsed="false">
      <c r="A11" s="45"/>
      <c r="C11" s="137"/>
      <c r="D11" s="604"/>
      <c r="E11" s="605" t="s">
        <v>586</v>
      </c>
      <c r="F11" s="605"/>
      <c r="G11" s="797" t="str">
        <f aca="false">IF(G8="","",INDEX(DIFFERENTIATION_UNMERGE_SYSTEM,MATCH(G8,DIFFERENTIATION_ID_DIFF,0)))</f>
        <v/>
      </c>
      <c r="H11" s="797" t="str">
        <f aca="false">IF(H8="","",INDEX(DIFFERENTIATION_UNMERGE_SYSTEM,MATCH(H8,DIFFERENTIATION_ID_DIFF,0)))</f>
        <v>без дифференциации</v>
      </c>
      <c r="I11" s="133"/>
      <c r="R11" s="103"/>
    </row>
    <row r="12" s="42" customFormat="true" ht="15" hidden="false" customHeight="true" outlineLevel="0" collapsed="false">
      <c r="A12" s="45"/>
      <c r="C12" s="137"/>
      <c r="D12" s="607" t="s">
        <v>316</v>
      </c>
      <c r="E12" s="607"/>
      <c r="F12" s="607"/>
      <c r="G12" s="608"/>
      <c r="H12" s="608"/>
      <c r="I12" s="133"/>
      <c r="R12" s="103"/>
    </row>
    <row r="13" customFormat="false" ht="33.75" hidden="false" customHeight="true" outlineLevel="0" collapsed="false">
      <c r="D13" s="145" t="s">
        <v>84</v>
      </c>
      <c r="E13" s="133" t="s">
        <v>318</v>
      </c>
      <c r="F13" s="145" t="s">
        <v>587</v>
      </c>
      <c r="G13" s="269" t="s">
        <v>319</v>
      </c>
      <c r="H13" s="269" t="s">
        <v>319</v>
      </c>
      <c r="I13" s="133"/>
    </row>
    <row r="14" customFormat="false" ht="15" hidden="true" customHeight="true" outlineLevel="0" collapsed="false">
      <c r="D14" s="188" t="s">
        <v>117</v>
      </c>
      <c r="E14" s="188" t="s">
        <v>99</v>
      </c>
      <c r="F14" s="188" t="s">
        <v>86</v>
      </c>
      <c r="G14" s="137" t="str">
        <f aca="false">G1&amp;".1"</f>
        <v>.1</v>
      </c>
      <c r="H14" s="137" t="str">
        <f aca="false">H1&amp;".1"</f>
        <v>4.1</v>
      </c>
      <c r="I14" s="420"/>
    </row>
    <row r="15" customFormat="false" ht="15" hidden="false" customHeight="true" outlineLevel="0" collapsed="false">
      <c r="A15" s="42"/>
      <c r="C15" s="116"/>
      <c r="D15" s="145" t="n">
        <v>1</v>
      </c>
      <c r="E15" s="798" t="str">
        <f aca="false">TP_P_A</f>
        <v>Количество поданных заявлений</v>
      </c>
      <c r="F15" s="145" t="s">
        <v>1053</v>
      </c>
      <c r="G15" s="799"/>
      <c r="H15" s="799"/>
      <c r="I15" s="800" t="str">
        <f aca="false">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customFormat="false" ht="15" hidden="false" customHeight="true" outlineLevel="0" collapsed="false">
      <c r="A16" s="42"/>
      <c r="C16" s="116"/>
      <c r="D16" s="145" t="n">
        <v>2</v>
      </c>
      <c r="E16" s="798" t="str">
        <f aca="false">TP_P_B</f>
        <v>Количество исполненных заявлений</v>
      </c>
      <c r="F16" s="145" t="s">
        <v>1053</v>
      </c>
      <c r="G16" s="799"/>
      <c r="H16" s="799"/>
      <c r="I16" s="800" t="str">
        <f aca="false">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customFormat="false" ht="73.5" hidden="false" customHeight="true" outlineLevel="0" collapsed="false">
      <c r="A17" s="42"/>
      <c r="C17" s="116"/>
      <c r="D17" s="145" t="n">
        <v>3</v>
      </c>
      <c r="E17" s="798" t="str">
        <f aca="false">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45" t="s">
        <v>1053</v>
      </c>
      <c r="G17" s="799"/>
      <c r="H17" s="799"/>
      <c r="I17" s="800" t="str">
        <f aca="false">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customFormat="false" ht="52.5" hidden="false" customHeight="true" outlineLevel="0" collapsed="false">
      <c r="A18" s="42"/>
      <c r="C18" s="116"/>
      <c r="D18" s="145" t="n">
        <v>4</v>
      </c>
      <c r="E18" s="798" t="str">
        <f aca="false">TP_P_V_1</f>
        <v>Причины отказа в заключении договора о подключении (технологическом присоединении) к централизованной системе горячего водоснабжения</v>
      </c>
      <c r="F18" s="145" t="s">
        <v>322</v>
      </c>
      <c r="G18" s="700"/>
      <c r="H18" s="700"/>
      <c r="I18" s="798"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r="19" customFormat="false" ht="57" hidden="false" customHeight="true" outlineLevel="0" collapsed="false">
      <c r="A19" s="42"/>
      <c r="C19" s="116"/>
      <c r="D19" s="145" t="n">
        <v>5</v>
      </c>
      <c r="E19" s="798" t="str">
        <f aca="false">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145" t="str">
        <f aca="false">IF(TEMPLATE_SPHERE="HEAT","Гкал/час","тыс. куб. м/сутки")</f>
        <v>тыс. куб. м/сутки</v>
      </c>
      <c r="G19" s="801" t="n">
        <f aca="false">SUM(G20:G22)</f>
        <v>0</v>
      </c>
      <c r="H19" s="801" t="n">
        <f aca="false">SUM(H20:H22)</f>
        <v>0</v>
      </c>
      <c r="I19" s="800" t="str">
        <f aca="false">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customFormat="false" ht="15" hidden="true" customHeight="true" outlineLevel="0" collapsed="false">
      <c r="D20" s="42" t="s">
        <v>1054</v>
      </c>
      <c r="E20" s="75"/>
      <c r="I20" s="802"/>
    </row>
    <row r="21" customFormat="false" ht="27.75" hidden="false" customHeight="true" outlineLevel="0" collapsed="false">
      <c r="C21" s="116"/>
      <c r="D21" s="197" t="s">
        <v>329</v>
      </c>
      <c r="E21" s="83"/>
      <c r="F21" s="145" t="str">
        <f aca="false">IF(TEMPLATE_SPHERE="HEAT","Гкал/час","тыс. куб. м/сутки")</f>
        <v>тыс. куб. м/сутки</v>
      </c>
      <c r="G21" s="698"/>
      <c r="H21" s="698"/>
      <c r="I21" s="798" t="str">
        <f aca="false">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customFormat="false" ht="15" hidden="false" customHeight="true" outlineLevel="0" collapsed="false">
      <c r="A22" s="42"/>
      <c r="C22" s="42"/>
      <c r="D22" s="735"/>
      <c r="E22" s="160" t="s">
        <v>1055</v>
      </c>
      <c r="F22" s="624"/>
      <c r="G22" s="624"/>
      <c r="H22" s="624"/>
      <c r="I22" s="798"/>
      <c r="R22" s="42"/>
    </row>
  </sheetData>
  <mergeCells count="8">
    <mergeCell ref="D5:H5"/>
    <mergeCell ref="D6:H6"/>
    <mergeCell ref="E9:F9"/>
    <mergeCell ref="I9:I13"/>
    <mergeCell ref="E10:F10"/>
    <mergeCell ref="E11:F11"/>
    <mergeCell ref="D12:F12"/>
    <mergeCell ref="I21:I22"/>
  </mergeCells>
  <dataValidations count="4">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G2:H2 G21:H21" type="decimal">
      <formula1>-9.99999999999999E+023</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H17" type="whole">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E2 G18:H18 E21"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P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50" width="9.14"/>
    <col collapsed="false" customWidth="true" hidden="true" outlineLevel="0" max="2" min="2" style="45" width="9.14"/>
    <col collapsed="false" customWidth="true" hidden="false" outlineLevel="0" max="3" min="3" style="414" width="3.71"/>
    <col collapsed="false" customWidth="true" hidden="false" outlineLevel="0" max="4" min="4" style="42" width="6.28"/>
    <col collapsed="false" customWidth="true" hidden="false" outlineLevel="0" max="6" min="5" style="42" width="64.14"/>
    <col collapsed="false" customWidth="true" hidden="false" outlineLevel="0" max="7" min="7" style="42" width="141.14"/>
    <col collapsed="false" customWidth="false" hidden="false" outlineLevel="0" max="8" min="8" style="42" width="10.57"/>
    <col collapsed="false" customWidth="false" hidden="false" outlineLevel="0" max="10" min="9" style="117" width="10.57"/>
    <col collapsed="false" customWidth="false" hidden="false" outlineLevel="0" max="16" min="11" style="42" width="10.57"/>
  </cols>
  <sheetData>
    <row r="1" customFormat="false" ht="14.25" hidden="true" customHeight="true" outlineLevel="0" collapsed="false">
      <c r="M1" s="803"/>
      <c r="N1" s="803"/>
      <c r="P1" s="803"/>
    </row>
    <row r="2" customFormat="false" ht="14.25" hidden="true" customHeight="true" outlineLevel="0" collapsed="false"/>
    <row r="3" customFormat="false" ht="14.25" hidden="true" customHeight="true" outlineLevel="0" collapsed="false"/>
    <row r="4" customFormat="false" ht="3" hidden="false" customHeight="true" outlineLevel="0" collapsed="false">
      <c r="C4" s="467"/>
      <c r="D4" s="79"/>
      <c r="E4" s="79"/>
      <c r="F4" s="804"/>
      <c r="G4" s="804"/>
    </row>
    <row r="5" customFormat="false" ht="27.75" hidden="false" customHeight="true" outlineLevel="0" collapsed="false">
      <c r="C5" s="467"/>
      <c r="D5" s="212" t="str">
        <f aca="false">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2"/>
      <c r="F5" s="212"/>
      <c r="G5" s="212"/>
    </row>
    <row r="6" s="42" customFormat="true" ht="18" hidden="false" customHeight="true" outlineLevel="0" collapsed="false">
      <c r="A6" s="50"/>
      <c r="B6" s="45"/>
      <c r="C6" s="467"/>
      <c r="D6" s="265" t="str">
        <f aca="false">IF(org=0,"Не определено",org)</f>
        <v>ООО "Газпром теплоэнерго Ярославль"</v>
      </c>
      <c r="E6" s="265"/>
      <c r="F6" s="265"/>
      <c r="G6" s="265"/>
      <c r="I6" s="117"/>
      <c r="J6" s="117"/>
    </row>
    <row r="7" customFormat="false" ht="14.25" hidden="false" customHeight="true" outlineLevel="0" collapsed="false">
      <c r="C7" s="467"/>
      <c r="D7" s="79"/>
      <c r="E7" s="72"/>
      <c r="F7" s="296"/>
      <c r="G7" s="805"/>
    </row>
    <row r="8" s="42" customFormat="true" ht="0.75" hidden="false" customHeight="true" outlineLevel="0" collapsed="false">
      <c r="A8" s="50"/>
      <c r="B8" s="45"/>
      <c r="C8" s="467"/>
      <c r="D8" s="79"/>
      <c r="E8" s="72"/>
      <c r="F8" s="296"/>
      <c r="G8" s="805"/>
      <c r="I8" s="117"/>
      <c r="J8" s="117"/>
    </row>
    <row r="9" customFormat="false" ht="14.25" hidden="false" customHeight="true" outlineLevel="0" collapsed="false">
      <c r="C9" s="467"/>
      <c r="D9" s="394" t="s">
        <v>316</v>
      </c>
      <c r="E9" s="394"/>
      <c r="F9" s="394"/>
      <c r="G9" s="806" t="s">
        <v>317</v>
      </c>
    </row>
    <row r="10" customFormat="false" ht="14.25" hidden="false" customHeight="true" outlineLevel="0" collapsed="false">
      <c r="C10" s="467"/>
      <c r="D10" s="394" t="s">
        <v>84</v>
      </c>
      <c r="E10" s="184" t="s">
        <v>318</v>
      </c>
      <c r="F10" s="184" t="s">
        <v>406</v>
      </c>
      <c r="G10" s="806"/>
    </row>
    <row r="11" customFormat="false" ht="12" hidden="true" customHeight="true" outlineLevel="0" collapsed="false">
      <c r="C11" s="467"/>
      <c r="D11" s="366"/>
      <c r="E11" s="366"/>
      <c r="F11" s="366"/>
      <c r="G11" s="366"/>
    </row>
    <row r="12" customFormat="false" ht="62.25" hidden="false" customHeight="true" outlineLevel="0" collapsed="false">
      <c r="A12" s="131"/>
      <c r="C12" s="467"/>
      <c r="D12" s="299" t="n">
        <v>1</v>
      </c>
      <c r="E12" s="807" t="str">
        <f aca="false">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4" t="s">
        <v>322</v>
      </c>
      <c r="G12" s="420"/>
    </row>
    <row r="13" customFormat="false" ht="22.5" hidden="false" customHeight="true" outlineLevel="0" collapsed="false">
      <c r="A13" s="131"/>
      <c r="C13" s="467"/>
      <c r="D13" s="299" t="s">
        <v>960</v>
      </c>
      <c r="E13" s="808"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322</v>
      </c>
      <c r="G13" s="420"/>
    </row>
    <row r="14" customFormat="false" ht="14.25" hidden="false" customHeight="true" outlineLevel="0" collapsed="false">
      <c r="A14" s="131"/>
      <c r="C14" s="467"/>
      <c r="D14" s="299" t="s">
        <v>996</v>
      </c>
      <c r="E14" s="809"/>
      <c r="F14" s="406"/>
      <c r="G14" s="798"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customFormat="false" ht="15" hidden="false" customHeight="true" outlineLevel="0" collapsed="false">
      <c r="A15" s="131"/>
      <c r="C15" s="467"/>
      <c r="D15" s="735"/>
      <c r="E15" s="211" t="s">
        <v>1056</v>
      </c>
      <c r="F15" s="810"/>
      <c r="G15" s="798"/>
    </row>
    <row r="16" customFormat="false" ht="14.25" hidden="false" customHeight="true" outlineLevel="0" collapsed="false">
      <c r="A16" s="131"/>
      <c r="C16" s="467"/>
      <c r="D16" s="299" t="s">
        <v>962</v>
      </c>
      <c r="E16" s="808"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4" t="s">
        <v>322</v>
      </c>
      <c r="G16" s="478"/>
    </row>
    <row r="17" customFormat="false" ht="14.25" hidden="false" customHeight="true" outlineLevel="0" collapsed="false">
      <c r="A17" s="131"/>
      <c r="C17" s="467"/>
      <c r="D17" s="299" t="s">
        <v>1004</v>
      </c>
      <c r="E17" s="809"/>
      <c r="F17" s="729"/>
      <c r="G17" s="798"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42" customFormat="true" ht="21" hidden="false" customHeight="true" outlineLevel="0" collapsed="false">
      <c r="A18" s="131"/>
      <c r="B18" s="45"/>
      <c r="C18" s="467"/>
      <c r="D18" s="735"/>
      <c r="E18" s="211" t="s">
        <v>1057</v>
      </c>
      <c r="F18" s="811"/>
      <c r="G18" s="798"/>
      <c r="I18" s="117"/>
      <c r="J18" s="117"/>
    </row>
    <row r="19" s="42" customFormat="true" ht="256.5" hidden="true" customHeight="true" outlineLevel="0" collapsed="false">
      <c r="A19" s="131"/>
      <c r="B19" s="45"/>
      <c r="C19" s="467"/>
      <c r="D19" s="299" t="s">
        <v>964</v>
      </c>
      <c r="E19" s="808" t="s">
        <v>1058</v>
      </c>
      <c r="F19" s="729"/>
      <c r="G19" s="478" t="s">
        <v>1059</v>
      </c>
      <c r="I19" s="117"/>
      <c r="J19" s="117"/>
    </row>
    <row r="20" s="42" customFormat="true" ht="14.25" hidden="false" customHeight="true" outlineLevel="0" collapsed="false">
      <c r="A20" s="131"/>
      <c r="B20" s="45"/>
      <c r="C20" s="467"/>
      <c r="D20" s="300" t="n">
        <v>2</v>
      </c>
      <c r="E20" s="808" t="s">
        <v>1060</v>
      </c>
      <c r="F20" s="184" t="s">
        <v>322</v>
      </c>
      <c r="G20" s="478"/>
      <c r="I20" s="117"/>
      <c r="J20" s="117"/>
    </row>
    <row r="21" s="42" customFormat="true" ht="18.75" hidden="true" customHeight="true" outlineLevel="0" collapsed="false">
      <c r="A21" s="131"/>
      <c r="B21" s="45"/>
      <c r="C21" s="467"/>
      <c r="D21" s="812" t="s">
        <v>890</v>
      </c>
      <c r="E21" s="813"/>
      <c r="F21" s="814"/>
      <c r="G21" s="815"/>
      <c r="H21" s="664"/>
      <c r="I21" s="117"/>
      <c r="J21" s="117"/>
    </row>
    <row r="22" customFormat="false" ht="15" hidden="false" customHeight="true" outlineLevel="0" collapsed="false">
      <c r="A22" s="131"/>
      <c r="C22" s="467"/>
      <c r="D22" s="735"/>
      <c r="E22" s="160" t="s">
        <v>338</v>
      </c>
      <c r="F22" s="811"/>
      <c r="G22" s="650"/>
    </row>
    <row r="23" s="42" customFormat="true" ht="22.5" hidden="true" customHeight="true" outlineLevel="0" collapsed="false">
      <c r="A23" s="131"/>
      <c r="B23" s="45"/>
      <c r="C23" s="467"/>
      <c r="D23" s="299" t="s">
        <v>99</v>
      </c>
      <c r="E23" s="807" t="s">
        <v>1061</v>
      </c>
      <c r="F23" s="184" t="s">
        <v>322</v>
      </c>
      <c r="G23" s="420"/>
      <c r="I23" s="117"/>
      <c r="J23" s="117"/>
    </row>
    <row r="24" s="42" customFormat="true" ht="14.25" hidden="true" customHeight="true" outlineLevel="0" collapsed="false">
      <c r="A24" s="131"/>
      <c r="B24" s="45"/>
      <c r="C24" s="467"/>
      <c r="D24" s="299" t="s">
        <v>643</v>
      </c>
      <c r="E24" s="808" t="s">
        <v>1062</v>
      </c>
      <c r="F24" s="184" t="s">
        <v>322</v>
      </c>
      <c r="G24" s="478"/>
      <c r="I24" s="117"/>
      <c r="J24" s="117"/>
    </row>
    <row r="25" s="42" customFormat="true" ht="14.25" hidden="true" customHeight="true" outlineLevel="0" collapsed="false">
      <c r="A25" s="131"/>
      <c r="B25" s="45"/>
      <c r="C25" s="467"/>
      <c r="D25" s="299" t="s">
        <v>646</v>
      </c>
      <c r="E25" s="809"/>
      <c r="F25" s="729"/>
      <c r="G25" s="798" t="s">
        <v>1063</v>
      </c>
      <c r="I25" s="117"/>
      <c r="J25" s="117"/>
    </row>
    <row r="26" s="42" customFormat="true" ht="22.5" hidden="true" customHeight="true" outlineLevel="0" collapsed="false">
      <c r="A26" s="131"/>
      <c r="B26" s="45"/>
      <c r="C26" s="467"/>
      <c r="D26" s="735"/>
      <c r="E26" s="211" t="s">
        <v>1064</v>
      </c>
      <c r="F26" s="811"/>
      <c r="G26" s="798"/>
      <c r="I26" s="117"/>
      <c r="J26" s="117"/>
    </row>
    <row r="27" customFormat="false" ht="3" hidden="false" customHeight="true" outlineLevel="0" collapsed="false"/>
    <row r="28" customFormat="false" ht="14.25" hidden="false" customHeight="true" outlineLevel="0" collapsed="false">
      <c r="D28" s="412"/>
      <c r="E28" s="701"/>
      <c r="F28" s="344"/>
      <c r="G28" s="344"/>
      <c r="H28" s="344"/>
      <c r="I28" s="344"/>
      <c r="J28" s="344"/>
      <c r="K28" s="344"/>
      <c r="L28" s="344"/>
      <c r="M28" s="344"/>
      <c r="N28" s="344"/>
      <c r="O28" s="344"/>
      <c r="P28" s="344"/>
    </row>
    <row r="29" customFormat="false" ht="14.25" hidden="false" customHeight="true" outlineLevel="0" collapsed="false">
      <c r="D29" s="412"/>
      <c r="E29" s="95"/>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L4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51" width="9.14"/>
    <col collapsed="false" customWidth="true" hidden="true" outlineLevel="0" max="2" min="2" style="45" width="9.14"/>
    <col collapsed="false" customWidth="true" hidden="false" outlineLevel="0" max="3" min="3" style="414" width="3.71"/>
    <col collapsed="false" customWidth="true" hidden="false" outlineLevel="0" max="4" min="4" style="42" width="6.28"/>
    <col collapsed="false" customWidth="true" hidden="false" outlineLevel="0" max="5" min="5" style="42" width="63.42"/>
    <col collapsed="false" customWidth="true" hidden="true" outlineLevel="0" max="6" min="6" style="42" width="1.71"/>
    <col collapsed="false" customWidth="true" hidden="false" outlineLevel="0" max="8" min="7" style="42" width="35.71"/>
    <col collapsed="false" customWidth="true" hidden="false" outlineLevel="0" max="9" min="9" style="42" width="91.57"/>
    <col collapsed="false" customWidth="true" hidden="false" outlineLevel="0" max="10" min="10" style="42" width="68.85"/>
    <col collapsed="false" customWidth="false" hidden="false" outlineLevel="0" max="12" min="11" style="117" width="10.57"/>
  </cols>
  <sheetData>
    <row r="1" customFormat="false" ht="14.25" hidden="true" customHeight="true" outlineLevel="0" collapsed="false"/>
    <row r="2" s="42" customFormat="true" ht="18.75" hidden="true" customHeight="true" outlineLevel="0" collapsed="false">
      <c r="A2" s="54"/>
      <c r="B2" s="45"/>
      <c r="C2" s="816" t="s">
        <v>100</v>
      </c>
      <c r="D2" s="299"/>
      <c r="E2" s="82"/>
      <c r="F2" s="184"/>
      <c r="G2" s="184" t="s">
        <v>322</v>
      </c>
      <c r="H2" s="406"/>
      <c r="K2" s="117"/>
      <c r="L2" s="117"/>
    </row>
    <row r="3" s="42" customFormat="true" ht="14.25" hidden="true" customHeight="true" outlineLevel="0" collapsed="false">
      <c r="A3" s="51"/>
      <c r="B3" s="45"/>
      <c r="C3" s="414"/>
      <c r="K3" s="117"/>
      <c r="L3" s="117"/>
    </row>
    <row r="4" s="42" customFormat="true" ht="18.75" hidden="true" customHeight="true" outlineLevel="0" collapsed="false">
      <c r="A4" s="54"/>
      <c r="B4" s="45"/>
      <c r="C4" s="816" t="s">
        <v>100</v>
      </c>
      <c r="D4" s="299"/>
      <c r="E4" s="743" t="s">
        <v>1065</v>
      </c>
      <c r="F4" s="184"/>
      <c r="G4" s="817"/>
      <c r="H4" s="184" t="s">
        <v>322</v>
      </c>
      <c r="K4" s="117"/>
      <c r="L4" s="117"/>
    </row>
    <row r="5" s="42" customFormat="true" ht="14.25" hidden="true" customHeight="true" outlineLevel="0" collapsed="false">
      <c r="A5" s="51"/>
      <c r="B5" s="45"/>
      <c r="C5" s="414"/>
      <c r="K5" s="117"/>
      <c r="L5" s="117"/>
    </row>
    <row r="6" s="42" customFormat="true" ht="18.75" hidden="true" customHeight="true" outlineLevel="0" collapsed="false">
      <c r="A6" s="54"/>
      <c r="B6" s="45"/>
      <c r="C6" s="816" t="s">
        <v>100</v>
      </c>
      <c r="D6" s="299"/>
      <c r="E6" s="818" t="s">
        <v>1066</v>
      </c>
      <c r="F6" s="184"/>
      <c r="G6" s="817"/>
      <c r="H6" s="184" t="s">
        <v>322</v>
      </c>
      <c r="K6" s="117"/>
      <c r="L6" s="117"/>
    </row>
    <row r="7" s="42" customFormat="true" ht="14.25" hidden="true" customHeight="true" outlineLevel="0" collapsed="false">
      <c r="A7" s="51"/>
      <c r="B7" s="45"/>
      <c r="C7" s="414"/>
      <c r="K7" s="117"/>
      <c r="L7" s="117"/>
    </row>
    <row r="8" s="42" customFormat="true" ht="18.75" hidden="true" customHeight="true" outlineLevel="0" collapsed="false">
      <c r="A8" s="54"/>
      <c r="B8" s="45"/>
      <c r="C8" s="816" t="s">
        <v>100</v>
      </c>
      <c r="D8" s="299"/>
      <c r="E8" s="818" t="s">
        <v>1067</v>
      </c>
      <c r="F8" s="184"/>
      <c r="G8" s="817"/>
      <c r="H8" s="184" t="s">
        <v>322</v>
      </c>
      <c r="K8" s="117"/>
      <c r="L8" s="117"/>
    </row>
    <row r="9" s="42" customFormat="true" ht="14.25" hidden="true" customHeight="true" outlineLevel="0" collapsed="false">
      <c r="A9" s="51"/>
      <c r="B9" s="45"/>
      <c r="C9" s="414"/>
      <c r="K9" s="117"/>
      <c r="L9" s="117"/>
    </row>
    <row r="10" s="42" customFormat="true" ht="18.75" hidden="true" customHeight="true" outlineLevel="0" collapsed="false">
      <c r="A10" s="54"/>
      <c r="B10" s="45"/>
      <c r="C10" s="816" t="s">
        <v>100</v>
      </c>
      <c r="D10" s="299"/>
      <c r="E10" s="818" t="s">
        <v>1068</v>
      </c>
      <c r="F10" s="184"/>
      <c r="G10" s="338"/>
      <c r="H10" s="184" t="s">
        <v>322</v>
      </c>
      <c r="K10" s="117"/>
      <c r="L10" s="117" t="s">
        <v>1069</v>
      </c>
    </row>
    <row r="11" customFormat="false" ht="14.25" hidden="true" customHeight="true" outlineLevel="0" collapsed="false"/>
    <row r="12" customFormat="false" ht="14.25" hidden="true" customHeight="true" outlineLevel="0" collapsed="false"/>
    <row r="13" customFormat="false" ht="14.25" hidden="false" customHeight="true" outlineLevel="0" collapsed="false">
      <c r="C13" s="467"/>
      <c r="D13" s="79"/>
      <c r="E13" s="79"/>
      <c r="F13" s="79"/>
      <c r="G13" s="79"/>
      <c r="H13" s="804"/>
      <c r="I13" s="804"/>
    </row>
    <row r="14" customFormat="false" ht="27.75" hidden="false" customHeight="true" outlineLevel="0" collapsed="false">
      <c r="C14" s="467"/>
      <c r="D14" s="212" t="str">
        <f aca="false">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2"/>
      <c r="F14" s="212"/>
      <c r="G14" s="212"/>
      <c r="H14" s="212"/>
    </row>
    <row r="15" s="42" customFormat="true" ht="14.25" hidden="false" customHeight="true" outlineLevel="0" collapsed="false">
      <c r="A15" s="51"/>
      <c r="B15" s="45"/>
      <c r="C15" s="467"/>
      <c r="D15" s="265" t="str">
        <f aca="false">IF(org=0,"Не определено",org)</f>
        <v>ООО "Газпром теплоэнерго Ярославль"</v>
      </c>
      <c r="E15" s="265"/>
      <c r="F15" s="265"/>
      <c r="G15" s="265"/>
      <c r="H15" s="265"/>
      <c r="J15" s="315"/>
      <c r="K15" s="117"/>
      <c r="L15" s="117"/>
    </row>
    <row r="16" customFormat="false" ht="14.25" hidden="false" customHeight="true" outlineLevel="0" collapsed="false">
      <c r="C16" s="467"/>
      <c r="D16" s="79"/>
      <c r="E16" s="72"/>
      <c r="F16" s="72"/>
      <c r="G16" s="72"/>
      <c r="H16" s="296"/>
      <c r="I16" s="805"/>
    </row>
    <row r="17" s="42" customFormat="true" ht="14.25" hidden="true" customHeight="true" outlineLevel="0" collapsed="false">
      <c r="A17" s="51"/>
      <c r="B17" s="45"/>
      <c r="C17" s="467"/>
      <c r="D17" s="79"/>
      <c r="E17" s="72"/>
      <c r="F17" s="72"/>
      <c r="G17" s="72"/>
      <c r="H17" s="296"/>
      <c r="I17" s="805"/>
      <c r="K17" s="117"/>
      <c r="L17" s="117"/>
    </row>
    <row r="18" customFormat="false" ht="21" hidden="false" customHeight="true" outlineLevel="0" collapsed="false">
      <c r="C18" s="467"/>
      <c r="D18" s="394" t="s">
        <v>316</v>
      </c>
      <c r="E18" s="394"/>
      <c r="F18" s="394"/>
      <c r="G18" s="394"/>
      <c r="H18" s="394"/>
      <c r="I18" s="806" t="s">
        <v>317</v>
      </c>
    </row>
    <row r="19" customFormat="false" ht="21" hidden="false" customHeight="true" outlineLevel="0" collapsed="false">
      <c r="C19" s="467"/>
      <c r="D19" s="394" t="s">
        <v>84</v>
      </c>
      <c r="E19" s="184" t="s">
        <v>318</v>
      </c>
      <c r="F19" s="184"/>
      <c r="G19" s="184" t="s">
        <v>319</v>
      </c>
      <c r="H19" s="184" t="s">
        <v>406</v>
      </c>
      <c r="I19" s="806"/>
    </row>
    <row r="20" customFormat="false" ht="12" hidden="true" customHeight="true" outlineLevel="0" collapsed="false">
      <c r="C20" s="467"/>
      <c r="D20" s="366"/>
      <c r="E20" s="366"/>
      <c r="F20" s="366"/>
      <c r="G20" s="366"/>
      <c r="H20" s="366"/>
      <c r="I20" s="366"/>
    </row>
    <row r="21" customFormat="false" ht="14.25" hidden="false" customHeight="true" outlineLevel="0" collapsed="false">
      <c r="A21" s="54"/>
      <c r="C21" s="467"/>
      <c r="D21" s="299" t="n">
        <v>1</v>
      </c>
      <c r="E21" s="819" t="s">
        <v>1070</v>
      </c>
      <c r="F21" s="819"/>
      <c r="G21" s="819"/>
      <c r="H21" s="819"/>
      <c r="I21" s="800"/>
    </row>
    <row r="22" customFormat="false" ht="20.25" hidden="false" customHeight="true" outlineLevel="0" collapsed="false">
      <c r="A22" s="54"/>
      <c r="C22" s="467"/>
      <c r="D22" s="299" t="s">
        <v>960</v>
      </c>
      <c r="E22" s="808" t="s">
        <v>1071</v>
      </c>
      <c r="F22" s="184"/>
      <c r="G22" s="820"/>
      <c r="H22" s="184" t="s">
        <v>322</v>
      </c>
      <c r="I22" s="420" t="s">
        <v>1072</v>
      </c>
    </row>
    <row r="23" customFormat="false" ht="45" hidden="false" customHeight="true" outlineLevel="0" collapsed="false">
      <c r="A23" s="54"/>
      <c r="C23" s="467"/>
      <c r="D23" s="299" t="s">
        <v>962</v>
      </c>
      <c r="E23" s="743" t="s">
        <v>1073</v>
      </c>
      <c r="F23" s="184"/>
      <c r="G23" s="817"/>
      <c r="H23" s="406"/>
      <c r="I23" s="224" t="s">
        <v>1074</v>
      </c>
    </row>
    <row r="24" customFormat="false" ht="14.25" hidden="false" customHeight="true" outlineLevel="0" collapsed="false">
      <c r="A24" s="54"/>
      <c r="B24" s="45" t="n">
        <v>3</v>
      </c>
      <c r="C24" s="467"/>
      <c r="D24" s="299" t="n">
        <v>2</v>
      </c>
      <c r="E24" s="821"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4"/>
      <c r="G24" s="184" t="s">
        <v>322</v>
      </c>
      <c r="H24" s="406"/>
      <c r="I24" s="287" t="s">
        <v>827</v>
      </c>
    </row>
    <row r="25" customFormat="false" ht="46.5" hidden="false" customHeight="true" outlineLevel="0" collapsed="false">
      <c r="A25" s="54"/>
      <c r="C25" s="467"/>
      <c r="D25" s="299" t="n">
        <v>3</v>
      </c>
      <c r="E25" s="819"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819"/>
      <c r="G25" s="819"/>
      <c r="H25" s="819"/>
      <c r="I25" s="800"/>
    </row>
    <row r="26" customFormat="false" ht="14.25" hidden="false" customHeight="true" outlineLevel="0" collapsed="false">
      <c r="A26" s="54"/>
      <c r="C26" s="467"/>
      <c r="D26" s="299" t="s">
        <v>340</v>
      </c>
      <c r="E26" s="82"/>
      <c r="F26" s="184"/>
      <c r="G26" s="184" t="s">
        <v>322</v>
      </c>
      <c r="H26" s="406"/>
      <c r="I26" s="224" t="s">
        <v>1075</v>
      </c>
    </row>
    <row r="27" customFormat="false" ht="15" hidden="false" customHeight="true" outlineLevel="0" collapsed="false">
      <c r="A27" s="54" t="s">
        <v>117</v>
      </c>
      <c r="C27" s="467"/>
      <c r="D27" s="735"/>
      <c r="E27" s="160" t="s">
        <v>338</v>
      </c>
      <c r="F27" s="211"/>
      <c r="G27" s="211"/>
      <c r="H27" s="810"/>
      <c r="I27" s="224"/>
    </row>
    <row r="28" customFormat="false" ht="38.25" hidden="false" customHeight="true" outlineLevel="0" collapsed="false">
      <c r="A28" s="54"/>
      <c r="B28" s="45" t="n">
        <v>3</v>
      </c>
      <c r="C28" s="467"/>
      <c r="D28" s="299" t="n">
        <v>4</v>
      </c>
      <c r="E28" s="819"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819"/>
      <c r="G28" s="819"/>
      <c r="H28" s="819"/>
      <c r="I28" s="800"/>
    </row>
    <row r="29" customFormat="false" ht="20.25" hidden="false" customHeight="true" outlineLevel="0" collapsed="false">
      <c r="A29" s="54"/>
      <c r="C29" s="467"/>
      <c r="D29" s="299" t="s">
        <v>688</v>
      </c>
      <c r="E29" s="743" t="s">
        <v>1065</v>
      </c>
      <c r="F29" s="184"/>
      <c r="G29" s="817"/>
      <c r="H29" s="184" t="s">
        <v>322</v>
      </c>
      <c r="I29" s="224" t="s">
        <v>1076</v>
      </c>
    </row>
    <row r="30" customFormat="false" ht="15" hidden="false" customHeight="true" outlineLevel="0" collapsed="false">
      <c r="A30" s="54" t="s">
        <v>99</v>
      </c>
      <c r="C30" s="467"/>
      <c r="D30" s="735"/>
      <c r="E30" s="160" t="s">
        <v>338</v>
      </c>
      <c r="F30" s="211"/>
      <c r="G30" s="211"/>
      <c r="H30" s="810"/>
      <c r="I30" s="224"/>
    </row>
    <row r="31" customFormat="false" ht="30" hidden="false" customHeight="true" outlineLevel="0" collapsed="false">
      <c r="A31" s="54"/>
      <c r="B31" s="45" t="n">
        <v>3</v>
      </c>
      <c r="C31" s="467"/>
      <c r="D31" s="299" t="n">
        <v>5</v>
      </c>
      <c r="E31" s="819"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819"/>
      <c r="G31" s="819"/>
      <c r="H31" s="819"/>
      <c r="I31" s="800"/>
    </row>
    <row r="32" customFormat="false" ht="26.25" hidden="false" customHeight="true" outlineLevel="0" collapsed="false">
      <c r="A32" s="54"/>
      <c r="C32" s="467"/>
      <c r="D32" s="299" t="s">
        <v>329</v>
      </c>
      <c r="E32" s="808"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808"/>
      <c r="G32" s="808"/>
      <c r="H32" s="808"/>
      <c r="I32" s="800"/>
    </row>
    <row r="33" customFormat="false" ht="14.25" hidden="false" customHeight="true" outlineLevel="0" collapsed="false">
      <c r="A33" s="54"/>
      <c r="C33" s="467"/>
      <c r="D33" s="299" t="s">
        <v>1077</v>
      </c>
      <c r="E33" s="818" t="s">
        <v>1066</v>
      </c>
      <c r="F33" s="184"/>
      <c r="G33" s="817"/>
      <c r="H33" s="184" t="s">
        <v>322</v>
      </c>
      <c r="I33" s="224" t="s">
        <v>1078</v>
      </c>
    </row>
    <row r="34" customFormat="false" ht="15" hidden="false" customHeight="true" outlineLevel="0" collapsed="false">
      <c r="A34" s="54" t="s">
        <v>86</v>
      </c>
      <c r="C34" s="467"/>
      <c r="D34" s="735"/>
      <c r="E34" s="211" t="s">
        <v>338</v>
      </c>
      <c r="F34" s="567"/>
      <c r="G34" s="567"/>
      <c r="H34" s="810"/>
      <c r="I34" s="224"/>
    </row>
    <row r="35" customFormat="false" ht="24" hidden="false" customHeight="true" outlineLevel="0" collapsed="false">
      <c r="A35" s="54"/>
      <c r="C35" s="467"/>
      <c r="D35" s="299" t="s">
        <v>817</v>
      </c>
      <c r="E35" s="808"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808"/>
      <c r="G35" s="808"/>
      <c r="H35" s="808"/>
      <c r="I35" s="800"/>
    </row>
    <row r="36" customFormat="false" ht="14.25" hidden="false" customHeight="true" outlineLevel="0" collapsed="false">
      <c r="A36" s="54"/>
      <c r="C36" s="467"/>
      <c r="D36" s="299" t="s">
        <v>1079</v>
      </c>
      <c r="E36" s="818" t="s">
        <v>1067</v>
      </c>
      <c r="F36" s="184"/>
      <c r="G36" s="817"/>
      <c r="H36" s="184" t="s">
        <v>322</v>
      </c>
      <c r="I36" s="224" t="s">
        <v>1080</v>
      </c>
    </row>
    <row r="37" customFormat="false" ht="15" hidden="false" customHeight="true" outlineLevel="0" collapsed="false">
      <c r="A37" s="54" t="s">
        <v>87</v>
      </c>
      <c r="C37" s="467"/>
      <c r="D37" s="735"/>
      <c r="E37" s="211" t="s">
        <v>338</v>
      </c>
      <c r="F37" s="567"/>
      <c r="G37" s="567"/>
      <c r="H37" s="810"/>
      <c r="I37" s="224"/>
    </row>
    <row r="38" customFormat="false" ht="26.25" hidden="false" customHeight="true" outlineLevel="0" collapsed="false">
      <c r="A38" s="54"/>
      <c r="C38" s="467"/>
      <c r="D38" s="299" t="s">
        <v>818</v>
      </c>
      <c r="E38" s="808"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808"/>
      <c r="G38" s="808"/>
      <c r="H38" s="808"/>
      <c r="I38" s="800"/>
    </row>
    <row r="39" customFormat="false" ht="14.25" hidden="false" customHeight="true" outlineLevel="0" collapsed="false">
      <c r="A39" s="54"/>
      <c r="C39" s="467"/>
      <c r="D39" s="299" t="s">
        <v>819</v>
      </c>
      <c r="E39" s="818" t="s">
        <v>1068</v>
      </c>
      <c r="F39" s="184"/>
      <c r="G39" s="338"/>
      <c r="H39" s="184" t="s">
        <v>322</v>
      </c>
      <c r="I39" s="224" t="s">
        <v>1081</v>
      </c>
      <c r="L39" s="117" t="s">
        <v>1069</v>
      </c>
    </row>
    <row r="40" customFormat="false" ht="15" hidden="false" customHeight="true" outlineLevel="0" collapsed="false">
      <c r="A40" s="54" t="s">
        <v>118</v>
      </c>
      <c r="C40" s="467"/>
      <c r="D40" s="735"/>
      <c r="E40" s="211" t="s">
        <v>338</v>
      </c>
      <c r="F40" s="567"/>
      <c r="G40" s="567"/>
      <c r="H40" s="810"/>
      <c r="I40" s="224"/>
    </row>
    <row r="41" s="131" customFormat="true" ht="3" hidden="false" customHeight="true" outlineLevel="0" collapsed="false">
      <c r="A41" s="54"/>
      <c r="K41" s="155"/>
      <c r="L41" s="155"/>
    </row>
    <row r="42" customFormat="false" ht="24.75" hidden="false" customHeight="true" outlineLevel="0" collapsed="false">
      <c r="D42" s="412" t="s">
        <v>739</v>
      </c>
      <c r="E42" s="491"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491"/>
      <c r="G42" s="491"/>
      <c r="H42" s="491"/>
      <c r="I42" s="491"/>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2 H23:H24 H2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G3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2" min="1" style="11" width="25.14"/>
    <col collapsed="false" customWidth="true" hidden="true" outlineLevel="0" max="3" min="3" style="344" width="9.14"/>
    <col collapsed="false" customWidth="true" hidden="false" outlineLevel="0" max="4" min="4" style="414" width="3.71"/>
    <col collapsed="false" customWidth="true" hidden="false" outlineLevel="0" max="5" min="5" style="42" width="6.28"/>
    <col collapsed="false" customWidth="true" hidden="false" outlineLevel="0" max="6" min="6" style="42" width="46.71"/>
    <col collapsed="false" customWidth="true" hidden="false" outlineLevel="0" max="7" min="7" style="42" width="35.71"/>
    <col collapsed="false" customWidth="true" hidden="false" outlineLevel="0" max="8" min="8" style="42" width="3.71"/>
    <col collapsed="false" customWidth="true" hidden="false" outlineLevel="0" max="10" min="9" style="42" width="11.71"/>
    <col collapsed="false" customWidth="true" hidden="false" outlineLevel="0" max="12" min="11" style="42" width="35.71"/>
    <col collapsed="false" customWidth="true" hidden="false" outlineLevel="0" max="13" min="13" style="42" width="84.85"/>
    <col collapsed="false" customWidth="false" hidden="false" outlineLevel="0" max="14" min="14" style="42" width="10.57"/>
    <col collapsed="false" customWidth="false" hidden="false" outlineLevel="0" max="16" min="15" style="117" width="10.57"/>
    <col collapsed="false" customWidth="false" hidden="false" outlineLevel="0" max="33" min="17" style="42" width="10.57"/>
  </cols>
  <sheetData>
    <row r="1" s="42" customFormat="true" ht="14.25" hidden="true" customHeight="true" outlineLevel="0" collapsed="false">
      <c r="A1" s="11"/>
      <c r="B1" s="11"/>
      <c r="C1" s="344"/>
      <c r="D1" s="414"/>
      <c r="N1" s="47" t="n">
        <f aca="false">_xlfn.iferror(MATCH("метод экономически обоснованных расходов (затрат)",OFFER_METHOD,0),0)</f>
        <v>0</v>
      </c>
      <c r="O1" s="117"/>
      <c r="P1" s="117"/>
      <c r="T1" s="109"/>
      <c r="AG1" s="803"/>
    </row>
    <row r="2" s="42" customFormat="true" ht="18.75" hidden="true" customHeight="true" outlineLevel="0" collapsed="false">
      <c r="A2" s="131" t="s">
        <v>162</v>
      </c>
      <c r="B2" s="131" t="s">
        <v>163</v>
      </c>
      <c r="C2" s="344"/>
      <c r="D2" s="414"/>
      <c r="E2" s="480"/>
      <c r="F2" s="480"/>
      <c r="G2" s="757" t="str">
        <f aca="false">INDEX(PT_DIFFERENTIATION_NTAR,MATCH(B2,PT_DIFFERENTIATION_NTAR_ID,0))</f>
        <v/>
      </c>
      <c r="H2" s="361"/>
      <c r="I2" s="822"/>
      <c r="J2" s="823"/>
      <c r="K2" s="434"/>
      <c r="L2" s="361" t="s">
        <v>322</v>
      </c>
      <c r="M2" s="824"/>
      <c r="N2" s="664"/>
      <c r="O2" s="117"/>
      <c r="P2" s="117"/>
    </row>
    <row r="3" s="42" customFormat="true" ht="18.75" hidden="true" customHeight="true" outlineLevel="0" collapsed="false">
      <c r="A3" s="131"/>
      <c r="B3" s="131"/>
      <c r="C3" s="344" t="s">
        <v>1082</v>
      </c>
      <c r="D3" s="414"/>
      <c r="E3" s="480"/>
      <c r="F3" s="480"/>
      <c r="G3" s="757"/>
      <c r="H3" s="587"/>
      <c r="I3" s="167" t="s">
        <v>1083</v>
      </c>
      <c r="J3" s="211"/>
      <c r="K3" s="587"/>
      <c r="L3" s="810"/>
      <c r="M3" s="824"/>
      <c r="N3" s="664"/>
      <c r="O3" s="117"/>
      <c r="P3" s="117"/>
    </row>
    <row r="4" s="42" customFormat="true" ht="14.25" hidden="true" customHeight="true" outlineLevel="0" collapsed="false">
      <c r="A4" s="11"/>
      <c r="B4" s="11"/>
      <c r="C4" s="344"/>
      <c r="D4" s="414"/>
      <c r="N4" s="47" t="n">
        <f aca="false">_xlfn.iferror(MATCH("метод экономически обоснованных расходов (затрат)",OFFER_METHOD,0),0)</f>
        <v>0</v>
      </c>
      <c r="O4" s="117"/>
      <c r="P4" s="117"/>
      <c r="T4" s="109"/>
      <c r="AG4" s="803"/>
    </row>
    <row r="5" s="42" customFormat="true" ht="18.75" hidden="true" customHeight="true" outlineLevel="0" collapsed="false">
      <c r="A5" s="131" t="s">
        <v>162</v>
      </c>
      <c r="B5" s="131" t="s">
        <v>163</v>
      </c>
      <c r="C5" s="344"/>
      <c r="D5" s="414"/>
      <c r="E5" s="480"/>
      <c r="F5" s="480"/>
      <c r="G5" s="757" t="str">
        <f aca="false">INDEX(PT_DIFFERENTIATION_NTAR,MATCH(B5,PT_DIFFERENTIATION_NTAR_ID,0))</f>
        <v/>
      </c>
      <c r="H5" s="361"/>
      <c r="I5" s="822"/>
      <c r="J5" s="823"/>
      <c r="K5" s="374"/>
      <c r="L5" s="361" t="s">
        <v>322</v>
      </c>
      <c r="M5" s="824"/>
      <c r="N5" s="664"/>
      <c r="O5" s="117"/>
      <c r="P5" s="117"/>
    </row>
    <row r="6" s="42" customFormat="true" ht="18.75" hidden="true" customHeight="true" outlineLevel="0" collapsed="false">
      <c r="A6" s="131"/>
      <c r="B6" s="131"/>
      <c r="C6" s="344" t="s">
        <v>1084</v>
      </c>
      <c r="D6" s="414"/>
      <c r="E6" s="480"/>
      <c r="F6" s="480"/>
      <c r="G6" s="757"/>
      <c r="H6" s="587"/>
      <c r="I6" s="167" t="s">
        <v>1083</v>
      </c>
      <c r="J6" s="211"/>
      <c r="K6" s="587"/>
      <c r="L6" s="810"/>
      <c r="M6" s="824"/>
      <c r="N6" s="664"/>
      <c r="O6" s="117"/>
      <c r="P6" s="117"/>
    </row>
    <row r="7" s="42" customFormat="true" ht="14.25" hidden="true" customHeight="true" outlineLevel="0" collapsed="false">
      <c r="A7" s="11"/>
      <c r="B7" s="11"/>
      <c r="C7" s="344"/>
      <c r="D7" s="414"/>
      <c r="N7" s="47" t="n">
        <f aca="false">_xlfn.iferror(MATCH("метод экономически обоснованных расходов (затрат)",OFFER_METHOD,0),0)</f>
        <v>0</v>
      </c>
      <c r="O7" s="117"/>
      <c r="P7" s="117"/>
      <c r="T7" s="109"/>
      <c r="AG7" s="803"/>
    </row>
    <row r="8" s="42" customFormat="true" ht="56.25" hidden="true" customHeight="true" outlineLevel="0" collapsed="false">
      <c r="A8" s="131"/>
      <c r="B8" s="131"/>
      <c r="C8" s="344"/>
      <c r="D8" s="414"/>
      <c r="E8" s="480"/>
      <c r="F8" s="480"/>
      <c r="G8" s="480"/>
      <c r="H8" s="361"/>
      <c r="I8" s="822"/>
      <c r="J8" s="823"/>
      <c r="K8" s="434"/>
      <c r="L8" s="361" t="s">
        <v>322</v>
      </c>
      <c r="M8" s="824"/>
      <c r="N8" s="664"/>
      <c r="O8" s="117"/>
      <c r="P8" s="117"/>
    </row>
    <row r="9" customFormat="false" ht="14.25" hidden="true" customHeight="true" outlineLevel="0" collapsed="false">
      <c r="T9" s="109"/>
      <c r="AG9" s="803"/>
    </row>
    <row r="10" s="42" customFormat="true" ht="56.25" hidden="true" customHeight="true" outlineLevel="0" collapsed="false">
      <c r="A10" s="131"/>
      <c r="B10" s="131"/>
      <c r="C10" s="344"/>
      <c r="D10" s="414"/>
      <c r="E10" s="480"/>
      <c r="F10" s="480"/>
      <c r="G10" s="480"/>
      <c r="H10" s="184"/>
      <c r="I10" s="822"/>
      <c r="J10" s="823"/>
      <c r="K10" s="374"/>
      <c r="L10" s="361" t="s">
        <v>322</v>
      </c>
      <c r="M10" s="824"/>
      <c r="N10" s="664"/>
      <c r="O10" s="117"/>
      <c r="P10" s="117"/>
    </row>
    <row r="11" customFormat="false" ht="14.25" hidden="true" customHeight="true" outlineLevel="0" collapsed="false"/>
    <row r="12" customFormat="false" ht="14.25" hidden="true" customHeight="true" outlineLevel="0" collapsed="false"/>
    <row r="13" customFormat="false" ht="6" hidden="false" customHeight="true" outlineLevel="0" collapsed="false">
      <c r="D13" s="467"/>
      <c r="E13" s="79"/>
      <c r="F13" s="79"/>
      <c r="G13" s="79"/>
      <c r="H13" s="79"/>
      <c r="I13" s="79"/>
      <c r="J13" s="79"/>
      <c r="K13" s="79"/>
      <c r="L13" s="804"/>
      <c r="M13" s="804"/>
    </row>
    <row r="14" customFormat="false" ht="14.25" hidden="false" customHeight="true" outlineLevel="0" collapsed="false">
      <c r="D14" s="467"/>
      <c r="E14" s="825"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825"/>
      <c r="G14" s="825"/>
      <c r="H14" s="825"/>
      <c r="I14" s="825"/>
      <c r="J14" s="825"/>
      <c r="K14" s="825"/>
      <c r="L14" s="825"/>
      <c r="M14" s="214"/>
    </row>
    <row r="15" customFormat="false" ht="6" hidden="false" customHeight="true" outlineLevel="0" collapsed="false">
      <c r="D15" s="467"/>
      <c r="E15" s="79"/>
      <c r="F15" s="72"/>
      <c r="G15" s="72"/>
      <c r="H15" s="72"/>
      <c r="I15" s="72"/>
      <c r="J15" s="72"/>
      <c r="K15" s="72"/>
      <c r="L15" s="469"/>
      <c r="M15" s="805"/>
    </row>
    <row r="16" customFormat="false" ht="18.75" hidden="false" customHeight="true" outlineLevel="0" collapsed="false">
      <c r="D16" s="467"/>
      <c r="E16" s="79"/>
      <c r="F16" s="826" t="str">
        <f aca="false">"Дата подачи заявления об "&amp;IF(TITLE_DATE_PR_CHANGE="","утверждении","изменении")&amp;" тарифов"</f>
        <v>Дата подачи заявления об утверждении тарифов</v>
      </c>
      <c r="G16" s="474" t="str">
        <f aca="false">IF(TITLE_DATE_PR_CHANGE="",IF(TITLE_DATE_PR="","",TITLE_DATE_PR),TITLE_DATE_PR_CHANGE)</f>
        <v>45279.46460648148</v>
      </c>
      <c r="H16" s="474"/>
      <c r="I16" s="474"/>
      <c r="J16" s="474"/>
      <c r="K16" s="474"/>
      <c r="L16" s="474"/>
      <c r="M16" s="664"/>
    </row>
    <row r="17" customFormat="false" ht="18.75" hidden="false" customHeight="true" outlineLevel="0" collapsed="false">
      <c r="D17" s="467"/>
      <c r="E17" s="79"/>
      <c r="F17" s="826" t="str">
        <f aca="false">"Номер подачи заявления об "&amp;IF(TITLE_DATE_PR_CHANGE="","утверждении","изменении")&amp;" тарифов"</f>
        <v>Номер подачи заявления об утверждении тарифов</v>
      </c>
      <c r="G17" s="472" t="str">
        <f aca="false">IF(TITLE_NUMBER_PR_CHANGE="",IF(TITLE_NUMBER_PR="","",TITLE_NUMBER_PR),TITLE_NUMBER_PR_CHANGE)</f>
        <v>403-гвс, 404-гвс, 406-гвс</v>
      </c>
      <c r="H17" s="472"/>
      <c r="I17" s="472"/>
      <c r="J17" s="472"/>
      <c r="K17" s="472"/>
      <c r="L17" s="472"/>
      <c r="M17" s="664"/>
    </row>
    <row r="18" customFormat="false" ht="14.25" hidden="false" customHeight="true" outlineLevel="0" collapsed="false">
      <c r="D18" s="467"/>
      <c r="E18" s="79"/>
      <c r="F18" s="72"/>
      <c r="G18" s="72"/>
      <c r="H18" s="72"/>
      <c r="I18" s="72"/>
      <c r="J18" s="72"/>
      <c r="K18" s="72"/>
      <c r="L18" s="296"/>
      <c r="M18" s="805"/>
    </row>
    <row r="19" customFormat="false" ht="21" hidden="false" customHeight="true" outlineLevel="0" collapsed="false">
      <c r="D19" s="467"/>
      <c r="E19" s="394" t="s">
        <v>316</v>
      </c>
      <c r="F19" s="394"/>
      <c r="G19" s="394"/>
      <c r="H19" s="394"/>
      <c r="I19" s="394"/>
      <c r="J19" s="394"/>
      <c r="K19" s="394"/>
      <c r="L19" s="394"/>
      <c r="M19" s="806" t="s">
        <v>317</v>
      </c>
    </row>
    <row r="20" customFormat="false" ht="21" hidden="false" customHeight="true" outlineLevel="0" collapsed="false">
      <c r="D20" s="467"/>
      <c r="E20" s="394" t="s">
        <v>84</v>
      </c>
      <c r="F20" s="358" t="s">
        <v>129</v>
      </c>
      <c r="G20" s="358" t="s">
        <v>130</v>
      </c>
      <c r="H20" s="394" t="s">
        <v>1085</v>
      </c>
      <c r="I20" s="394"/>
      <c r="J20" s="394"/>
      <c r="K20" s="358" t="s">
        <v>319</v>
      </c>
      <c r="L20" s="358" t="s">
        <v>406</v>
      </c>
      <c r="M20" s="806"/>
    </row>
    <row r="21" customFormat="false" ht="21" hidden="false" customHeight="true" outlineLevel="0" collapsed="false">
      <c r="D21" s="467"/>
      <c r="E21" s="394"/>
      <c r="F21" s="358"/>
      <c r="G21" s="358"/>
      <c r="H21" s="184" t="s">
        <v>1086</v>
      </c>
      <c r="I21" s="184"/>
      <c r="J21" s="184" t="s">
        <v>1087</v>
      </c>
      <c r="K21" s="358"/>
      <c r="L21" s="358"/>
      <c r="M21" s="806"/>
    </row>
    <row r="22" customFormat="false" ht="12" hidden="false" customHeight="true" outlineLevel="0" collapsed="false">
      <c r="D22" s="467"/>
      <c r="E22" s="366"/>
      <c r="F22" s="366"/>
      <c r="G22" s="366"/>
      <c r="H22" s="827"/>
      <c r="I22" s="827"/>
      <c r="J22" s="366"/>
      <c r="K22" s="366"/>
      <c r="L22" s="366"/>
      <c r="M22" s="366"/>
    </row>
    <row r="23" customFormat="false" ht="18.75" hidden="false" customHeight="true" outlineLevel="0" collapsed="false">
      <c r="A23" s="131"/>
      <c r="B23" s="131"/>
      <c r="D23" s="467"/>
      <c r="E23" s="828" t="s">
        <v>117</v>
      </c>
      <c r="F23" s="829" t="str">
        <f aca="false">"Предлагаемый метод регулирования"&amp;IF(TEMPLATE_SPHERE="HEAT"," в сфере "&amp;TEMPLATE_SPHERE_RUS,"")</f>
        <v>Предлагаемый метод регулирования</v>
      </c>
      <c r="G23" s="829"/>
      <c r="H23" s="829"/>
      <c r="I23" s="829"/>
      <c r="J23" s="829"/>
      <c r="K23" s="829" t="s">
        <v>322</v>
      </c>
      <c r="L23" s="829"/>
      <c r="M23" s="287"/>
      <c r="N23" s="664"/>
    </row>
    <row r="24" customFormat="false" ht="60.75" hidden="true" customHeight="true" outlineLevel="0" collapsed="false">
      <c r="A24" s="131" t="s">
        <v>162</v>
      </c>
      <c r="B24" s="131" t="s">
        <v>163</v>
      </c>
      <c r="D24" s="830"/>
      <c r="E24" s="299"/>
      <c r="F24" s="831"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757" t="str">
        <f aca="false">INDEX(PT_DIFFERENTIATION_NTAR,MATCH(B24,PT_DIFFERENTIATION_NTAR_ID,0))</f>
        <v/>
      </c>
      <c r="H24" s="361"/>
      <c r="I24" s="822"/>
      <c r="J24" s="823"/>
      <c r="K24" s="434"/>
      <c r="L24" s="361" t="s">
        <v>322</v>
      </c>
      <c r="M24" s="832"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64"/>
    </row>
    <row r="25" s="42" customFormat="true" ht="18.75" hidden="true" customHeight="true" outlineLevel="0" collapsed="false">
      <c r="A25" s="131"/>
      <c r="B25" s="131"/>
      <c r="C25" s="344" t="s">
        <v>1082</v>
      </c>
      <c r="D25" s="830"/>
      <c r="E25" s="299"/>
      <c r="F25" s="831"/>
      <c r="G25" s="757"/>
      <c r="H25" s="587"/>
      <c r="I25" s="167" t="s">
        <v>1083</v>
      </c>
      <c r="J25" s="211"/>
      <c r="K25" s="587"/>
      <c r="L25" s="810"/>
      <c r="M25" s="832"/>
      <c r="N25" s="664"/>
      <c r="O25" s="117"/>
      <c r="P25" s="117"/>
    </row>
    <row r="26" customFormat="false" ht="0.75" hidden="true" customHeight="true" outlineLevel="0" collapsed="false">
      <c r="A26" s="131"/>
      <c r="B26" s="131"/>
      <c r="C26" s="344" t="s">
        <v>1088</v>
      </c>
      <c r="D26" s="830"/>
      <c r="E26" s="299"/>
      <c r="F26" s="831"/>
      <c r="G26" s="833"/>
      <c r="H26" s="587"/>
      <c r="I26" s="167"/>
      <c r="J26" s="211"/>
      <c r="K26" s="587"/>
      <c r="L26" s="810"/>
      <c r="M26" s="832"/>
      <c r="N26" s="664"/>
    </row>
    <row r="27" s="42" customFormat="true" ht="45" hidden="true" customHeight="true" outlineLevel="0" collapsed="false">
      <c r="A27" s="131" t="s">
        <v>168</v>
      </c>
      <c r="B27" s="131" t="s">
        <v>169</v>
      </c>
      <c r="C27" s="344"/>
      <c r="D27" s="834"/>
      <c r="E27" s="835"/>
      <c r="F27" s="836" t="str">
        <f aca="false">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757" t="str">
        <f aca="false">INDEX(PT_DIFFERENTIATION_NTAR,MATCH(B27,PT_DIFFERENTIATION_NTAR_ID,0))</f>
        <v/>
      </c>
      <c r="H27" s="361"/>
      <c r="I27" s="822"/>
      <c r="J27" s="823"/>
      <c r="K27" s="434"/>
      <c r="L27" s="361" t="s">
        <v>322</v>
      </c>
      <c r="M27" s="832"/>
      <c r="N27" s="664"/>
      <c r="O27" s="117"/>
      <c r="P27" s="117"/>
    </row>
    <row r="28" s="42" customFormat="true" ht="18.75" hidden="true" customHeight="true" outlineLevel="0" collapsed="false">
      <c r="A28" s="131"/>
      <c r="B28" s="131"/>
      <c r="C28" s="344" t="s">
        <v>1082</v>
      </c>
      <c r="D28" s="834"/>
      <c r="E28" s="835"/>
      <c r="F28" s="836"/>
      <c r="G28" s="757"/>
      <c r="H28" s="587"/>
      <c r="I28" s="167" t="s">
        <v>1083</v>
      </c>
      <c r="J28" s="211"/>
      <c r="K28" s="587"/>
      <c r="L28" s="810"/>
      <c r="M28" s="832"/>
      <c r="N28" s="664"/>
      <c r="O28" s="117"/>
      <c r="P28" s="117"/>
    </row>
    <row r="29" s="42" customFormat="true" ht="0.75" hidden="true" customHeight="true" outlineLevel="0" collapsed="false">
      <c r="A29" s="131"/>
      <c r="B29" s="131"/>
      <c r="C29" s="344" t="s">
        <v>1088</v>
      </c>
      <c r="D29" s="834"/>
      <c r="E29" s="835"/>
      <c r="F29" s="836"/>
      <c r="G29" s="833"/>
      <c r="H29" s="587"/>
      <c r="I29" s="167"/>
      <c r="J29" s="211"/>
      <c r="K29" s="587"/>
      <c r="L29" s="810"/>
      <c r="M29" s="832"/>
      <c r="N29" s="664"/>
      <c r="O29" s="117"/>
      <c r="P29" s="117"/>
    </row>
    <row r="30" s="42" customFormat="true" ht="45" hidden="true" customHeight="true" outlineLevel="0" collapsed="false">
      <c r="A30" s="131" t="s">
        <v>174</v>
      </c>
      <c r="B30" s="131" t="s">
        <v>175</v>
      </c>
      <c r="C30" s="344"/>
      <c r="D30" s="834"/>
      <c r="E30" s="299"/>
      <c r="F30" s="668"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757" t="str">
        <f aca="false">INDEX(PT_DIFFERENTIATION_NTAR,MATCH(B30,PT_DIFFERENTIATION_NTAR_ID,0))</f>
        <v/>
      </c>
      <c r="H30" s="361"/>
      <c r="I30" s="822"/>
      <c r="J30" s="823"/>
      <c r="K30" s="434"/>
      <c r="L30" s="361" t="s">
        <v>322</v>
      </c>
      <c r="M30" s="832"/>
      <c r="N30" s="664"/>
      <c r="O30" s="117"/>
      <c r="P30" s="117"/>
    </row>
    <row r="31" s="42" customFormat="true" ht="18.75" hidden="true" customHeight="true" outlineLevel="0" collapsed="false">
      <c r="A31" s="131"/>
      <c r="B31" s="131"/>
      <c r="C31" s="344" t="s">
        <v>1082</v>
      </c>
      <c r="D31" s="834"/>
      <c r="E31" s="299"/>
      <c r="F31" s="668"/>
      <c r="G31" s="757"/>
      <c r="H31" s="587"/>
      <c r="I31" s="167" t="s">
        <v>1083</v>
      </c>
      <c r="J31" s="211"/>
      <c r="K31" s="587"/>
      <c r="L31" s="810"/>
      <c r="M31" s="832"/>
      <c r="N31" s="664"/>
      <c r="O31" s="117"/>
      <c r="P31" s="117"/>
    </row>
    <row r="32" s="42" customFormat="true" ht="0.75" hidden="true" customHeight="true" outlineLevel="0" collapsed="false">
      <c r="A32" s="131"/>
      <c r="B32" s="131"/>
      <c r="C32" s="344" t="s">
        <v>1088</v>
      </c>
      <c r="D32" s="834"/>
      <c r="E32" s="299"/>
      <c r="F32" s="668"/>
      <c r="G32" s="833"/>
      <c r="H32" s="587"/>
      <c r="I32" s="167"/>
      <c r="J32" s="211"/>
      <c r="K32" s="587"/>
      <c r="L32" s="810"/>
      <c r="M32" s="832"/>
      <c r="N32" s="664"/>
      <c r="O32" s="117"/>
      <c r="P32" s="117"/>
    </row>
    <row r="33" s="42" customFormat="true" ht="45" hidden="true" customHeight="true" outlineLevel="0" collapsed="false">
      <c r="A33" s="131" t="s">
        <v>180</v>
      </c>
      <c r="B33" s="131" t="s">
        <v>181</v>
      </c>
      <c r="C33" s="344"/>
      <c r="D33" s="834"/>
      <c r="E33" s="299"/>
      <c r="F33" s="668"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757" t="str">
        <f aca="false">INDEX(PT_DIFFERENTIATION_NTAR,MATCH(B33,PT_DIFFERENTIATION_NTAR_ID,0))</f>
        <v/>
      </c>
      <c r="H33" s="361"/>
      <c r="I33" s="822"/>
      <c r="J33" s="823"/>
      <c r="K33" s="434"/>
      <c r="L33" s="361" t="s">
        <v>322</v>
      </c>
      <c r="M33" s="832"/>
      <c r="N33" s="664"/>
      <c r="O33" s="117"/>
      <c r="P33" s="117"/>
    </row>
    <row r="34" s="42" customFormat="true" ht="18.75" hidden="true" customHeight="true" outlineLevel="0" collapsed="false">
      <c r="A34" s="131"/>
      <c r="B34" s="131"/>
      <c r="C34" s="344" t="s">
        <v>1082</v>
      </c>
      <c r="D34" s="834"/>
      <c r="E34" s="299"/>
      <c r="F34" s="668"/>
      <c r="G34" s="757"/>
      <c r="H34" s="587"/>
      <c r="I34" s="167" t="s">
        <v>1083</v>
      </c>
      <c r="J34" s="211"/>
      <c r="K34" s="587"/>
      <c r="L34" s="810"/>
      <c r="M34" s="832"/>
      <c r="N34" s="664"/>
      <c r="O34" s="117"/>
      <c r="P34" s="117"/>
    </row>
    <row r="35" s="42" customFormat="true" ht="0.75" hidden="true" customHeight="true" outlineLevel="0" collapsed="false">
      <c r="A35" s="131"/>
      <c r="B35" s="131"/>
      <c r="C35" s="344" t="s">
        <v>1088</v>
      </c>
      <c r="D35" s="834"/>
      <c r="E35" s="299"/>
      <c r="F35" s="668"/>
      <c r="G35" s="833"/>
      <c r="H35" s="587"/>
      <c r="I35" s="167"/>
      <c r="J35" s="211"/>
      <c r="K35" s="587"/>
      <c r="L35" s="810"/>
      <c r="M35" s="832"/>
      <c r="N35" s="664"/>
      <c r="O35" s="117"/>
      <c r="P35" s="117"/>
    </row>
    <row r="36" s="42" customFormat="true" ht="18.75" hidden="true" customHeight="true" outlineLevel="0" collapsed="false">
      <c r="A36" s="131" t="s">
        <v>186</v>
      </c>
      <c r="B36" s="131" t="s">
        <v>187</v>
      </c>
      <c r="C36" s="344"/>
      <c r="D36" s="834"/>
      <c r="E36" s="299"/>
      <c r="F36" s="668" t="str">
        <f aca="false">INDEX(PT_DIFFERENTIATION_VTAR,MATCH(A36,PT_DIFFERENTIATION_VTAR_ID,0))</f>
        <v>Тарифы на услуги по передаче тепловой энергии</v>
      </c>
      <c r="G36" s="757" t="str">
        <f aca="false">INDEX(PT_DIFFERENTIATION_NTAR,MATCH(B36,PT_DIFFERENTIATION_NTAR_ID,0))</f>
        <v/>
      </c>
      <c r="H36" s="361"/>
      <c r="I36" s="822"/>
      <c r="J36" s="823"/>
      <c r="K36" s="434"/>
      <c r="L36" s="361" t="s">
        <v>322</v>
      </c>
      <c r="M36" s="832"/>
      <c r="N36" s="664"/>
      <c r="O36" s="117"/>
      <c r="P36" s="117"/>
    </row>
    <row r="37" s="42" customFormat="true" ht="18.75" hidden="true" customHeight="true" outlineLevel="0" collapsed="false">
      <c r="A37" s="131"/>
      <c r="B37" s="131"/>
      <c r="C37" s="344" t="s">
        <v>1082</v>
      </c>
      <c r="D37" s="834"/>
      <c r="E37" s="299"/>
      <c r="F37" s="668"/>
      <c r="G37" s="757"/>
      <c r="H37" s="587"/>
      <c r="I37" s="167" t="s">
        <v>1083</v>
      </c>
      <c r="J37" s="211"/>
      <c r="K37" s="587"/>
      <c r="L37" s="810"/>
      <c r="M37" s="832"/>
      <c r="N37" s="664"/>
      <c r="O37" s="117"/>
      <c r="P37" s="117"/>
    </row>
    <row r="38" s="42" customFormat="true" ht="0.75" hidden="true" customHeight="true" outlineLevel="0" collapsed="false">
      <c r="A38" s="131"/>
      <c r="B38" s="131"/>
      <c r="C38" s="344" t="s">
        <v>1088</v>
      </c>
      <c r="D38" s="834"/>
      <c r="E38" s="299"/>
      <c r="F38" s="668"/>
      <c r="G38" s="833"/>
      <c r="H38" s="587"/>
      <c r="I38" s="167"/>
      <c r="J38" s="211"/>
      <c r="K38" s="587"/>
      <c r="L38" s="810"/>
      <c r="M38" s="832"/>
      <c r="N38" s="664"/>
      <c r="O38" s="117"/>
      <c r="P38" s="117"/>
    </row>
    <row r="39" s="42" customFormat="true" ht="18.75" hidden="true" customHeight="true" outlineLevel="0" collapsed="false">
      <c r="A39" s="131" t="s">
        <v>192</v>
      </c>
      <c r="B39" s="131" t="s">
        <v>193</v>
      </c>
      <c r="C39" s="344"/>
      <c r="D39" s="834"/>
      <c r="E39" s="299"/>
      <c r="F39" s="668" t="str">
        <f aca="false">INDEX(PT_DIFFERENTIATION_VTAR,MATCH(A39,PT_DIFFERENTIATION_VTAR_ID,0))</f>
        <v>Тарифы на услуги по передаче теплоносителя</v>
      </c>
      <c r="G39" s="757" t="str">
        <f aca="false">INDEX(PT_DIFFERENTIATION_NTAR,MATCH(B39,PT_DIFFERENTIATION_NTAR_ID,0))</f>
        <v/>
      </c>
      <c r="H39" s="361"/>
      <c r="I39" s="822"/>
      <c r="J39" s="823"/>
      <c r="K39" s="434"/>
      <c r="L39" s="361" t="s">
        <v>322</v>
      </c>
      <c r="M39" s="832"/>
      <c r="N39" s="664"/>
      <c r="O39" s="117"/>
      <c r="P39" s="117"/>
    </row>
    <row r="40" s="42" customFormat="true" ht="18.75" hidden="true" customHeight="true" outlineLevel="0" collapsed="false">
      <c r="A40" s="131"/>
      <c r="B40" s="131"/>
      <c r="C40" s="344" t="s">
        <v>1082</v>
      </c>
      <c r="D40" s="834"/>
      <c r="E40" s="299"/>
      <c r="F40" s="668"/>
      <c r="G40" s="757"/>
      <c r="H40" s="587"/>
      <c r="I40" s="167" t="s">
        <v>1083</v>
      </c>
      <c r="J40" s="211"/>
      <c r="K40" s="587"/>
      <c r="L40" s="810"/>
      <c r="M40" s="832"/>
      <c r="N40" s="664"/>
      <c r="O40" s="117"/>
      <c r="P40" s="117"/>
    </row>
    <row r="41" s="42" customFormat="true" ht="0.75" hidden="true" customHeight="true" outlineLevel="0" collapsed="false">
      <c r="A41" s="131"/>
      <c r="B41" s="131"/>
      <c r="C41" s="344" t="s">
        <v>1088</v>
      </c>
      <c r="D41" s="834"/>
      <c r="E41" s="299"/>
      <c r="F41" s="668"/>
      <c r="G41" s="833"/>
      <c r="H41" s="587"/>
      <c r="I41" s="167"/>
      <c r="J41" s="211"/>
      <c r="K41" s="587"/>
      <c r="L41" s="810"/>
      <c r="M41" s="832"/>
      <c r="N41" s="664"/>
      <c r="O41" s="117"/>
      <c r="P41" s="117"/>
    </row>
    <row r="42" s="42" customFormat="true" ht="18.75" hidden="true" customHeight="true" outlineLevel="0" collapsed="false">
      <c r="A42" s="131" t="s">
        <v>198</v>
      </c>
      <c r="B42" s="131" t="s">
        <v>199</v>
      </c>
      <c r="C42" s="344"/>
      <c r="D42" s="834"/>
      <c r="E42" s="299"/>
      <c r="F42" s="668"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757" t="str">
        <f aca="false">INDEX(PT_DIFFERENTIATION_NTAR,MATCH(B42,PT_DIFFERENTIATION_NTAR_ID,0))</f>
        <v/>
      </c>
      <c r="H42" s="361"/>
      <c r="I42" s="822"/>
      <c r="J42" s="823"/>
      <c r="K42" s="434"/>
      <c r="L42" s="361" t="s">
        <v>322</v>
      </c>
      <c r="M42" s="832"/>
      <c r="N42" s="664"/>
      <c r="O42" s="117"/>
      <c r="P42" s="117"/>
    </row>
    <row r="43" s="42" customFormat="true" ht="18.75" hidden="true" customHeight="true" outlineLevel="0" collapsed="false">
      <c r="A43" s="131"/>
      <c r="B43" s="131"/>
      <c r="C43" s="344" t="s">
        <v>1082</v>
      </c>
      <c r="D43" s="834"/>
      <c r="E43" s="299"/>
      <c r="F43" s="668"/>
      <c r="G43" s="757"/>
      <c r="H43" s="587"/>
      <c r="I43" s="167" t="s">
        <v>1083</v>
      </c>
      <c r="J43" s="211"/>
      <c r="K43" s="587"/>
      <c r="L43" s="810"/>
      <c r="M43" s="832"/>
      <c r="N43" s="664"/>
      <c r="O43" s="117"/>
      <c r="P43" s="117"/>
    </row>
    <row r="44" s="42" customFormat="true" ht="0.75" hidden="true" customHeight="true" outlineLevel="0" collapsed="false">
      <c r="A44" s="131"/>
      <c r="B44" s="131"/>
      <c r="C44" s="344" t="s">
        <v>1088</v>
      </c>
      <c r="D44" s="834"/>
      <c r="E44" s="299"/>
      <c r="F44" s="668"/>
      <c r="G44" s="833"/>
      <c r="H44" s="587"/>
      <c r="I44" s="167"/>
      <c r="J44" s="211"/>
      <c r="K44" s="587"/>
      <c r="L44" s="810"/>
      <c r="M44" s="832"/>
      <c r="N44" s="664"/>
      <c r="O44" s="117"/>
      <c r="P44" s="117"/>
    </row>
    <row r="45" s="42" customFormat="true" ht="18.75" hidden="true" customHeight="true" outlineLevel="0" collapsed="false">
      <c r="A45" s="131" t="s">
        <v>204</v>
      </c>
      <c r="B45" s="131" t="s">
        <v>205</v>
      </c>
      <c r="C45" s="344"/>
      <c r="D45" s="834"/>
      <c r="E45" s="299"/>
      <c r="F45" s="668" t="str">
        <f aca="false">INDEX(PT_DIFFERENTIATION_VTAR,MATCH(A45,PT_DIFFERENTIATION_VTAR_ID,0))</f>
        <v>Плата за подключение (технологическое присоединение) к системе теплоснабжения</v>
      </c>
      <c r="G45" s="757" t="str">
        <f aca="false">INDEX(PT_DIFFERENTIATION_NTAR,MATCH(B45,PT_DIFFERENTIATION_NTAR_ID,0))</f>
        <v/>
      </c>
      <c r="H45" s="361"/>
      <c r="I45" s="822"/>
      <c r="J45" s="823"/>
      <c r="K45" s="434"/>
      <c r="L45" s="361" t="s">
        <v>322</v>
      </c>
      <c r="M45" s="832"/>
      <c r="N45" s="664"/>
      <c r="O45" s="117"/>
      <c r="P45" s="117"/>
    </row>
    <row r="46" s="42" customFormat="true" ht="18.75" hidden="true" customHeight="true" outlineLevel="0" collapsed="false">
      <c r="A46" s="131"/>
      <c r="B46" s="131"/>
      <c r="C46" s="344" t="s">
        <v>1082</v>
      </c>
      <c r="D46" s="834"/>
      <c r="E46" s="299"/>
      <c r="F46" s="668"/>
      <c r="G46" s="757"/>
      <c r="H46" s="587"/>
      <c r="I46" s="167" t="s">
        <v>1083</v>
      </c>
      <c r="J46" s="211"/>
      <c r="K46" s="587"/>
      <c r="L46" s="810"/>
      <c r="M46" s="832"/>
      <c r="N46" s="664"/>
      <c r="O46" s="117"/>
      <c r="P46" s="117"/>
    </row>
    <row r="47" s="42" customFormat="true" ht="0.75" hidden="true" customHeight="true" outlineLevel="0" collapsed="false">
      <c r="A47" s="131"/>
      <c r="B47" s="131"/>
      <c r="C47" s="344" t="s">
        <v>1088</v>
      </c>
      <c r="D47" s="834"/>
      <c r="E47" s="299"/>
      <c r="F47" s="668"/>
      <c r="G47" s="833"/>
      <c r="H47" s="587"/>
      <c r="I47" s="167"/>
      <c r="J47" s="211"/>
      <c r="K47" s="587"/>
      <c r="L47" s="810"/>
      <c r="M47" s="832"/>
      <c r="N47" s="664"/>
      <c r="O47" s="117"/>
      <c r="P47" s="117"/>
    </row>
    <row r="48" s="42" customFormat="true" ht="18.75" hidden="true" customHeight="true" outlineLevel="0" collapsed="false">
      <c r="A48" s="131" t="s">
        <v>230</v>
      </c>
      <c r="B48" s="131" t="s">
        <v>231</v>
      </c>
      <c r="C48" s="344"/>
      <c r="D48" s="834"/>
      <c r="E48" s="299"/>
      <c r="F48" s="668" t="str">
        <f aca="false">INDEX(PT_DIFFERENTIATION_VTAR,MATCH(A48,PT_DIFFERENTIATION_VTAR_ID,0))</f>
        <v>Тариф на питьевую воду (питьевое водоснабжение)</v>
      </c>
      <c r="G48" s="757" t="str">
        <f aca="false">INDEX(PT_DIFFERENTIATION_NTAR,MATCH(B48,PT_DIFFERENTIATION_NTAR_ID,0))</f>
        <v/>
      </c>
      <c r="H48" s="361"/>
      <c r="I48" s="822"/>
      <c r="J48" s="823"/>
      <c r="K48" s="434"/>
      <c r="L48" s="361" t="s">
        <v>322</v>
      </c>
      <c r="M48" s="832"/>
      <c r="N48" s="664"/>
      <c r="O48" s="117"/>
      <c r="P48" s="117"/>
    </row>
    <row r="49" s="42" customFormat="true" ht="18.75" hidden="true" customHeight="true" outlineLevel="0" collapsed="false">
      <c r="A49" s="131"/>
      <c r="B49" s="131"/>
      <c r="C49" s="344" t="s">
        <v>1082</v>
      </c>
      <c r="D49" s="834"/>
      <c r="E49" s="299"/>
      <c r="F49" s="668"/>
      <c r="G49" s="757"/>
      <c r="H49" s="587"/>
      <c r="I49" s="167" t="s">
        <v>1083</v>
      </c>
      <c r="J49" s="211"/>
      <c r="K49" s="587"/>
      <c r="L49" s="810"/>
      <c r="M49" s="832"/>
      <c r="N49" s="664"/>
      <c r="O49" s="117"/>
      <c r="P49" s="117"/>
    </row>
    <row r="50" s="42" customFormat="true" ht="0.75" hidden="true" customHeight="true" outlineLevel="0" collapsed="false">
      <c r="A50" s="131"/>
      <c r="B50" s="131"/>
      <c r="C50" s="344" t="s">
        <v>1088</v>
      </c>
      <c r="D50" s="834"/>
      <c r="E50" s="299"/>
      <c r="F50" s="668"/>
      <c r="G50" s="833"/>
      <c r="H50" s="587"/>
      <c r="I50" s="167"/>
      <c r="J50" s="211"/>
      <c r="K50" s="587"/>
      <c r="L50" s="810"/>
      <c r="M50" s="832"/>
      <c r="N50" s="664"/>
      <c r="O50" s="117"/>
      <c r="P50" s="117"/>
    </row>
    <row r="51" s="42" customFormat="true" ht="18.75" hidden="true" customHeight="true" outlineLevel="0" collapsed="false">
      <c r="A51" s="131" t="s">
        <v>235</v>
      </c>
      <c r="B51" s="131" t="s">
        <v>236</v>
      </c>
      <c r="C51" s="344"/>
      <c r="D51" s="834"/>
      <c r="E51" s="299"/>
      <c r="F51" s="668" t="str">
        <f aca="false">INDEX(PT_DIFFERENTIATION_VTAR,MATCH(A51,PT_DIFFERENTIATION_VTAR_ID,0))</f>
        <v>Тариф на техническую воду</v>
      </c>
      <c r="G51" s="757" t="str">
        <f aca="false">INDEX(PT_DIFFERENTIATION_NTAR,MATCH(B51,PT_DIFFERENTIATION_NTAR_ID,0))</f>
        <v/>
      </c>
      <c r="H51" s="361"/>
      <c r="I51" s="822"/>
      <c r="J51" s="823"/>
      <c r="K51" s="434"/>
      <c r="L51" s="361" t="s">
        <v>322</v>
      </c>
      <c r="M51" s="832"/>
      <c r="N51" s="664"/>
      <c r="O51" s="117"/>
      <c r="P51" s="117"/>
    </row>
    <row r="52" s="42" customFormat="true" ht="18.75" hidden="true" customHeight="true" outlineLevel="0" collapsed="false">
      <c r="A52" s="131"/>
      <c r="B52" s="131"/>
      <c r="C52" s="344" t="s">
        <v>1082</v>
      </c>
      <c r="D52" s="834"/>
      <c r="E52" s="299"/>
      <c r="F52" s="668"/>
      <c r="G52" s="757"/>
      <c r="H52" s="587"/>
      <c r="I52" s="167" t="s">
        <v>1083</v>
      </c>
      <c r="J52" s="211"/>
      <c r="K52" s="587"/>
      <c r="L52" s="810"/>
      <c r="M52" s="832"/>
      <c r="N52" s="664"/>
      <c r="O52" s="117"/>
      <c r="P52" s="117"/>
    </row>
    <row r="53" s="42" customFormat="true" ht="0.75" hidden="true" customHeight="true" outlineLevel="0" collapsed="false">
      <c r="A53" s="131"/>
      <c r="B53" s="131"/>
      <c r="C53" s="344" t="s">
        <v>1088</v>
      </c>
      <c r="D53" s="834"/>
      <c r="E53" s="299"/>
      <c r="F53" s="668"/>
      <c r="G53" s="833"/>
      <c r="H53" s="587"/>
      <c r="I53" s="167"/>
      <c r="J53" s="211"/>
      <c r="K53" s="587"/>
      <c r="L53" s="810"/>
      <c r="M53" s="832"/>
      <c r="N53" s="664"/>
      <c r="O53" s="117"/>
      <c r="P53" s="117"/>
    </row>
    <row r="54" s="42" customFormat="true" ht="18.75" hidden="true" customHeight="true" outlineLevel="0" collapsed="false">
      <c r="A54" s="131" t="s">
        <v>240</v>
      </c>
      <c r="B54" s="131" t="s">
        <v>241</v>
      </c>
      <c r="C54" s="344"/>
      <c r="D54" s="834"/>
      <c r="E54" s="299"/>
      <c r="F54" s="668" t="str">
        <f aca="false">INDEX(PT_DIFFERENTIATION_VTAR,MATCH(A54,PT_DIFFERENTIATION_VTAR_ID,0))</f>
        <v>Тариф на транспортировку воды</v>
      </c>
      <c r="G54" s="757" t="str">
        <f aca="false">INDEX(PT_DIFFERENTIATION_NTAR,MATCH(B54,PT_DIFFERENTIATION_NTAR_ID,0))</f>
        <v/>
      </c>
      <c r="H54" s="361"/>
      <c r="I54" s="822"/>
      <c r="J54" s="823"/>
      <c r="K54" s="434"/>
      <c r="L54" s="361" t="s">
        <v>322</v>
      </c>
      <c r="M54" s="832"/>
      <c r="N54" s="664"/>
      <c r="O54" s="117"/>
      <c r="P54" s="117"/>
    </row>
    <row r="55" s="42" customFormat="true" ht="18.75" hidden="true" customHeight="true" outlineLevel="0" collapsed="false">
      <c r="A55" s="131"/>
      <c r="B55" s="131"/>
      <c r="C55" s="344" t="s">
        <v>1082</v>
      </c>
      <c r="D55" s="834"/>
      <c r="E55" s="299"/>
      <c r="F55" s="668"/>
      <c r="G55" s="757"/>
      <c r="H55" s="587"/>
      <c r="I55" s="167" t="s">
        <v>1083</v>
      </c>
      <c r="J55" s="211"/>
      <c r="K55" s="587"/>
      <c r="L55" s="810"/>
      <c r="M55" s="832"/>
      <c r="N55" s="664"/>
      <c r="O55" s="117"/>
      <c r="P55" s="117"/>
    </row>
    <row r="56" s="42" customFormat="true" ht="0.75" hidden="true" customHeight="true" outlineLevel="0" collapsed="false">
      <c r="A56" s="131"/>
      <c r="B56" s="131"/>
      <c r="C56" s="344" t="s">
        <v>1088</v>
      </c>
      <c r="D56" s="834"/>
      <c r="E56" s="299"/>
      <c r="F56" s="668"/>
      <c r="G56" s="833"/>
      <c r="H56" s="587"/>
      <c r="I56" s="167"/>
      <c r="J56" s="211"/>
      <c r="K56" s="587"/>
      <c r="L56" s="810"/>
      <c r="M56" s="832"/>
      <c r="N56" s="664"/>
      <c r="O56" s="117"/>
      <c r="P56" s="117"/>
    </row>
    <row r="57" s="42" customFormat="true" ht="18.75" hidden="true" customHeight="true" outlineLevel="0" collapsed="false">
      <c r="A57" s="131" t="s">
        <v>245</v>
      </c>
      <c r="B57" s="131" t="s">
        <v>246</v>
      </c>
      <c r="C57" s="344"/>
      <c r="D57" s="834"/>
      <c r="E57" s="299"/>
      <c r="F57" s="668" t="str">
        <f aca="false">INDEX(PT_DIFFERENTIATION_VTAR,MATCH(A57,PT_DIFFERENTIATION_VTAR_ID,0))</f>
        <v>Тариф на подвоз воды</v>
      </c>
      <c r="G57" s="757" t="str">
        <f aca="false">INDEX(PT_DIFFERENTIATION_NTAR,MATCH(B57,PT_DIFFERENTIATION_NTAR_ID,0))</f>
        <v/>
      </c>
      <c r="H57" s="361"/>
      <c r="I57" s="822"/>
      <c r="J57" s="823"/>
      <c r="K57" s="434"/>
      <c r="L57" s="361" t="s">
        <v>322</v>
      </c>
      <c r="M57" s="832"/>
      <c r="N57" s="664"/>
      <c r="O57" s="117"/>
      <c r="P57" s="117"/>
    </row>
    <row r="58" s="42" customFormat="true" ht="18.75" hidden="true" customHeight="true" outlineLevel="0" collapsed="false">
      <c r="A58" s="131"/>
      <c r="B58" s="131"/>
      <c r="C58" s="344" t="s">
        <v>1082</v>
      </c>
      <c r="D58" s="834"/>
      <c r="E58" s="299"/>
      <c r="F58" s="668"/>
      <c r="G58" s="757"/>
      <c r="H58" s="587"/>
      <c r="I58" s="167" t="s">
        <v>1083</v>
      </c>
      <c r="J58" s="211"/>
      <c r="K58" s="587"/>
      <c r="L58" s="810"/>
      <c r="M58" s="832"/>
      <c r="N58" s="664"/>
      <c r="O58" s="117"/>
      <c r="P58" s="117"/>
    </row>
    <row r="59" s="42" customFormat="true" ht="0.75" hidden="true" customHeight="true" outlineLevel="0" collapsed="false">
      <c r="A59" s="131"/>
      <c r="B59" s="131"/>
      <c r="C59" s="344" t="s">
        <v>1088</v>
      </c>
      <c r="D59" s="834"/>
      <c r="E59" s="299"/>
      <c r="F59" s="668"/>
      <c r="G59" s="833"/>
      <c r="H59" s="587"/>
      <c r="I59" s="167"/>
      <c r="J59" s="211"/>
      <c r="K59" s="587"/>
      <c r="L59" s="810"/>
      <c r="M59" s="832"/>
      <c r="N59" s="664"/>
      <c r="O59" s="117"/>
      <c r="P59" s="117"/>
    </row>
    <row r="60" s="42" customFormat="true" ht="18.75" hidden="true" customHeight="true" outlineLevel="0" collapsed="false">
      <c r="A60" s="131" t="s">
        <v>250</v>
      </c>
      <c r="B60" s="131" t="s">
        <v>251</v>
      </c>
      <c r="C60" s="344"/>
      <c r="D60" s="834"/>
      <c r="E60" s="299"/>
      <c r="F60" s="668" t="str">
        <f aca="false">INDEX(PT_DIFFERENTIATION_VTAR,MATCH(A60,PT_DIFFERENTIATION_VTAR_ID,0))</f>
        <v>Тариф на подключение (технологическое присоединение) к централизованной системе холодного водоснабжения</v>
      </c>
      <c r="G60" s="757" t="str">
        <f aca="false">INDEX(PT_DIFFERENTIATION_NTAR,MATCH(B60,PT_DIFFERENTIATION_NTAR_ID,0))</f>
        <v/>
      </c>
      <c r="H60" s="361"/>
      <c r="I60" s="822"/>
      <c r="J60" s="823"/>
      <c r="K60" s="434"/>
      <c r="L60" s="361" t="s">
        <v>322</v>
      </c>
      <c r="M60" s="832"/>
      <c r="N60" s="664"/>
      <c r="O60" s="117"/>
      <c r="P60" s="117"/>
    </row>
    <row r="61" s="42" customFormat="true" ht="18.75" hidden="true" customHeight="true" outlineLevel="0" collapsed="false">
      <c r="A61" s="131"/>
      <c r="B61" s="131"/>
      <c r="C61" s="344" t="s">
        <v>1082</v>
      </c>
      <c r="D61" s="834"/>
      <c r="E61" s="299"/>
      <c r="F61" s="668"/>
      <c r="G61" s="757"/>
      <c r="H61" s="587"/>
      <c r="I61" s="167" t="s">
        <v>1083</v>
      </c>
      <c r="J61" s="211"/>
      <c r="K61" s="587"/>
      <c r="L61" s="810"/>
      <c r="M61" s="832"/>
      <c r="N61" s="664"/>
      <c r="O61" s="117"/>
      <c r="P61" s="117"/>
    </row>
    <row r="62" s="42" customFormat="true" ht="0.75" hidden="true" customHeight="true" outlineLevel="0" collapsed="false">
      <c r="A62" s="131"/>
      <c r="B62" s="131"/>
      <c r="C62" s="344" t="s">
        <v>1088</v>
      </c>
      <c r="D62" s="834"/>
      <c r="E62" s="299"/>
      <c r="F62" s="668"/>
      <c r="G62" s="833"/>
      <c r="H62" s="587"/>
      <c r="I62" s="167"/>
      <c r="J62" s="211"/>
      <c r="K62" s="587"/>
      <c r="L62" s="810"/>
      <c r="M62" s="832"/>
      <c r="N62" s="664"/>
      <c r="O62" s="117"/>
      <c r="P62" s="117"/>
    </row>
    <row r="63" s="42" customFormat="true" ht="18.75" hidden="true" customHeight="true" outlineLevel="0" collapsed="false">
      <c r="A63" s="131" t="s">
        <v>257</v>
      </c>
      <c r="B63" s="131" t="s">
        <v>258</v>
      </c>
      <c r="C63" s="344"/>
      <c r="D63" s="834"/>
      <c r="E63" s="299"/>
      <c r="F63" s="668" t="str">
        <f aca="false">INDEX(PT_DIFFERENTIATION_VTAR,MATCH(A63,PT_DIFFERENTIATION_VTAR_ID,0))</f>
        <v>Тариф на горячую воду (горячее водоснабжение)</v>
      </c>
      <c r="G63" s="757" t="str">
        <f aca="false">INDEX(PT_DIFFERENTIATION_NTAR,MATCH(B63,PT_DIFFERENTIATION_NTAR_ID,0))</f>
        <v>тариф на горячую воду в закрытой системе горячего водоснабжения</v>
      </c>
      <c r="H63" s="361"/>
      <c r="I63" s="822"/>
      <c r="J63" s="823"/>
      <c r="K63" s="434"/>
      <c r="L63" s="361" t="s">
        <v>322</v>
      </c>
      <c r="M63" s="832"/>
      <c r="N63" s="664"/>
      <c r="O63" s="117"/>
      <c r="P63" s="117"/>
    </row>
    <row r="64" s="42" customFormat="true" ht="18.75" hidden="true" customHeight="true" outlineLevel="0" collapsed="false">
      <c r="A64" s="131"/>
      <c r="B64" s="131"/>
      <c r="C64" s="344" t="s">
        <v>1082</v>
      </c>
      <c r="D64" s="834"/>
      <c r="E64" s="299"/>
      <c r="F64" s="668"/>
      <c r="G64" s="757"/>
      <c r="H64" s="587"/>
      <c r="I64" s="167" t="s">
        <v>1083</v>
      </c>
      <c r="J64" s="211"/>
      <c r="K64" s="587"/>
      <c r="L64" s="810"/>
      <c r="M64" s="832"/>
      <c r="N64" s="664"/>
      <c r="O64" s="117"/>
      <c r="P64" s="117"/>
    </row>
    <row r="65" s="42" customFormat="true" ht="0.75" hidden="true" customHeight="true" outlineLevel="0" collapsed="false">
      <c r="A65" s="131"/>
      <c r="B65" s="131"/>
      <c r="C65" s="344" t="s">
        <v>1088</v>
      </c>
      <c r="D65" s="834"/>
      <c r="E65" s="299"/>
      <c r="F65" s="668"/>
      <c r="G65" s="833"/>
      <c r="H65" s="587"/>
      <c r="I65" s="167"/>
      <c r="J65" s="211"/>
      <c r="K65" s="587"/>
      <c r="L65" s="810"/>
      <c r="M65" s="832"/>
      <c r="N65" s="664"/>
      <c r="O65" s="117"/>
      <c r="P65" s="117"/>
    </row>
    <row r="66" s="42" customFormat="true" ht="18.75" hidden="true" customHeight="true" outlineLevel="0" collapsed="false">
      <c r="A66" s="131" t="s">
        <v>271</v>
      </c>
      <c r="B66" s="131" t="s">
        <v>272</v>
      </c>
      <c r="C66" s="344"/>
      <c r="D66" s="834"/>
      <c r="E66" s="299"/>
      <c r="F66" s="668" t="str">
        <f aca="false">INDEX(PT_DIFFERENTIATION_VTAR,MATCH(A66,PT_DIFFERENTIATION_VTAR_ID,0))</f>
        <v>Тариф на транспортировку горячей воды</v>
      </c>
      <c r="G66" s="757" t="str">
        <f aca="false">INDEX(PT_DIFFERENTIATION_NTAR,MATCH(B66,PT_DIFFERENTIATION_NTAR_ID,0))</f>
        <v/>
      </c>
      <c r="H66" s="361"/>
      <c r="I66" s="822"/>
      <c r="J66" s="823"/>
      <c r="K66" s="434"/>
      <c r="L66" s="361" t="s">
        <v>322</v>
      </c>
      <c r="M66" s="832"/>
      <c r="N66" s="664"/>
      <c r="O66" s="117"/>
      <c r="P66" s="117"/>
    </row>
    <row r="67" s="42" customFormat="true" ht="18.75" hidden="true" customHeight="true" outlineLevel="0" collapsed="false">
      <c r="A67" s="131"/>
      <c r="B67" s="131"/>
      <c r="C67" s="344" t="s">
        <v>1082</v>
      </c>
      <c r="D67" s="834"/>
      <c r="E67" s="299"/>
      <c r="F67" s="668"/>
      <c r="G67" s="757"/>
      <c r="H67" s="587"/>
      <c r="I67" s="167" t="s">
        <v>1083</v>
      </c>
      <c r="J67" s="211"/>
      <c r="K67" s="587"/>
      <c r="L67" s="810"/>
      <c r="M67" s="832"/>
      <c r="N67" s="664"/>
      <c r="O67" s="117"/>
      <c r="P67" s="117"/>
    </row>
    <row r="68" s="42" customFormat="true" ht="0.75" hidden="true" customHeight="true" outlineLevel="0" collapsed="false">
      <c r="A68" s="131"/>
      <c r="B68" s="131"/>
      <c r="C68" s="344" t="s">
        <v>1088</v>
      </c>
      <c r="D68" s="834"/>
      <c r="E68" s="299"/>
      <c r="F68" s="668"/>
      <c r="G68" s="833"/>
      <c r="H68" s="587"/>
      <c r="I68" s="167"/>
      <c r="J68" s="211"/>
      <c r="K68" s="587"/>
      <c r="L68" s="810"/>
      <c r="M68" s="832"/>
      <c r="N68" s="664"/>
      <c r="O68" s="117"/>
      <c r="P68" s="117"/>
    </row>
    <row r="69" s="42" customFormat="true" ht="18.75" hidden="true" customHeight="true" outlineLevel="0" collapsed="false">
      <c r="A69" s="131" t="s">
        <v>276</v>
      </c>
      <c r="B69" s="131" t="s">
        <v>277</v>
      </c>
      <c r="C69" s="344"/>
      <c r="D69" s="834"/>
      <c r="E69" s="299"/>
      <c r="F69" s="668" t="str">
        <f aca="false">INDEX(PT_DIFFERENTIATION_VTAR,MATCH(A69,PT_DIFFERENTIATION_VTAR_ID,0))</f>
        <v>Тариф на подключение (технологическое присоединение) к централизованной системе горячего водоснабжения</v>
      </c>
      <c r="G69" s="757" t="str">
        <f aca="false">INDEX(PT_DIFFERENTIATION_NTAR,MATCH(B69,PT_DIFFERENTIATION_NTAR_ID,0))</f>
        <v/>
      </c>
      <c r="H69" s="361"/>
      <c r="I69" s="822"/>
      <c r="J69" s="823"/>
      <c r="K69" s="434"/>
      <c r="L69" s="361" t="s">
        <v>322</v>
      </c>
      <c r="M69" s="832"/>
      <c r="N69" s="664"/>
      <c r="O69" s="117"/>
      <c r="P69" s="117"/>
    </row>
    <row r="70" s="42" customFormat="true" ht="18.75" hidden="true" customHeight="true" outlineLevel="0" collapsed="false">
      <c r="A70" s="131"/>
      <c r="B70" s="131"/>
      <c r="C70" s="344" t="s">
        <v>1082</v>
      </c>
      <c r="D70" s="834"/>
      <c r="E70" s="299"/>
      <c r="F70" s="668"/>
      <c r="G70" s="757"/>
      <c r="H70" s="587"/>
      <c r="I70" s="167" t="s">
        <v>1083</v>
      </c>
      <c r="J70" s="211"/>
      <c r="K70" s="587"/>
      <c r="L70" s="810"/>
      <c r="M70" s="832"/>
      <c r="N70" s="664"/>
      <c r="O70" s="117"/>
      <c r="P70" s="117"/>
    </row>
    <row r="71" s="42" customFormat="true" ht="0.75" hidden="true" customHeight="true" outlineLevel="0" collapsed="false">
      <c r="A71" s="131"/>
      <c r="B71" s="131"/>
      <c r="C71" s="344" t="s">
        <v>1088</v>
      </c>
      <c r="D71" s="834"/>
      <c r="E71" s="299"/>
      <c r="F71" s="668"/>
      <c r="G71" s="833"/>
      <c r="H71" s="587"/>
      <c r="I71" s="167"/>
      <c r="J71" s="211"/>
      <c r="K71" s="587"/>
      <c r="L71" s="810"/>
      <c r="M71" s="832"/>
      <c r="N71" s="664"/>
      <c r="O71" s="117"/>
      <c r="P71" s="117"/>
    </row>
    <row r="72" s="42" customFormat="true" ht="18.75" hidden="true" customHeight="true" outlineLevel="0" collapsed="false">
      <c r="A72" s="131" t="s">
        <v>281</v>
      </c>
      <c r="B72" s="131" t="s">
        <v>282</v>
      </c>
      <c r="C72" s="344"/>
      <c r="D72" s="834"/>
      <c r="E72" s="299"/>
      <c r="F72" s="668" t="str">
        <f aca="false">INDEX(PT_DIFFERENTIATION_VTAR,MATCH(A72,PT_DIFFERENTIATION_VTAR_ID,0))</f>
        <v>Тариф на водоотведение</v>
      </c>
      <c r="G72" s="757" t="str">
        <f aca="false">INDEX(PT_DIFFERENTIATION_NTAR,MATCH(B72,PT_DIFFERENTIATION_NTAR_ID,0))</f>
        <v/>
      </c>
      <c r="H72" s="361"/>
      <c r="I72" s="822"/>
      <c r="J72" s="823"/>
      <c r="K72" s="434"/>
      <c r="L72" s="361" t="s">
        <v>322</v>
      </c>
      <c r="M72" s="832"/>
      <c r="N72" s="664"/>
      <c r="O72" s="117"/>
      <c r="P72" s="117"/>
    </row>
    <row r="73" s="42" customFormat="true" ht="18.75" hidden="true" customHeight="true" outlineLevel="0" collapsed="false">
      <c r="A73" s="131"/>
      <c r="B73" s="131"/>
      <c r="C73" s="344" t="s">
        <v>1082</v>
      </c>
      <c r="D73" s="834"/>
      <c r="E73" s="299"/>
      <c r="F73" s="668"/>
      <c r="G73" s="757"/>
      <c r="H73" s="587"/>
      <c r="I73" s="167" t="s">
        <v>1083</v>
      </c>
      <c r="J73" s="211"/>
      <c r="K73" s="587"/>
      <c r="L73" s="810"/>
      <c r="M73" s="832"/>
      <c r="N73" s="664"/>
      <c r="O73" s="117"/>
      <c r="P73" s="117"/>
    </row>
    <row r="74" s="42" customFormat="true" ht="0.75" hidden="true" customHeight="true" outlineLevel="0" collapsed="false">
      <c r="A74" s="131"/>
      <c r="B74" s="131"/>
      <c r="C74" s="344" t="s">
        <v>1088</v>
      </c>
      <c r="D74" s="834"/>
      <c r="E74" s="299"/>
      <c r="F74" s="668"/>
      <c r="G74" s="833"/>
      <c r="H74" s="587"/>
      <c r="I74" s="167"/>
      <c r="J74" s="211"/>
      <c r="K74" s="587"/>
      <c r="L74" s="810"/>
      <c r="M74" s="832"/>
      <c r="N74" s="664"/>
      <c r="O74" s="117"/>
      <c r="P74" s="117"/>
    </row>
    <row r="75" s="42" customFormat="true" ht="18.75" hidden="true" customHeight="true" outlineLevel="0" collapsed="false">
      <c r="A75" s="131" t="s">
        <v>286</v>
      </c>
      <c r="B75" s="131" t="s">
        <v>287</v>
      </c>
      <c r="C75" s="344"/>
      <c r="D75" s="834"/>
      <c r="E75" s="299"/>
      <c r="F75" s="668" t="str">
        <f aca="false">INDEX(PT_DIFFERENTIATION_VTAR,MATCH(A75,PT_DIFFERENTIATION_VTAR_ID,0))</f>
        <v>Тариф на транспортировку сточных вод</v>
      </c>
      <c r="G75" s="757" t="str">
        <f aca="false">INDEX(PT_DIFFERENTIATION_NTAR,MATCH(B75,PT_DIFFERENTIATION_NTAR_ID,0))</f>
        <v/>
      </c>
      <c r="H75" s="361"/>
      <c r="I75" s="822"/>
      <c r="J75" s="823"/>
      <c r="K75" s="434"/>
      <c r="L75" s="361" t="s">
        <v>322</v>
      </c>
      <c r="M75" s="832"/>
      <c r="N75" s="664"/>
      <c r="O75" s="117"/>
      <c r="P75" s="117"/>
    </row>
    <row r="76" s="42" customFormat="true" ht="18.75" hidden="true" customHeight="true" outlineLevel="0" collapsed="false">
      <c r="A76" s="131"/>
      <c r="B76" s="131"/>
      <c r="C76" s="344" t="s">
        <v>1082</v>
      </c>
      <c r="D76" s="834"/>
      <c r="E76" s="299"/>
      <c r="F76" s="668"/>
      <c r="G76" s="757"/>
      <c r="H76" s="587"/>
      <c r="I76" s="167" t="s">
        <v>1083</v>
      </c>
      <c r="J76" s="211"/>
      <c r="K76" s="587"/>
      <c r="L76" s="810"/>
      <c r="M76" s="832"/>
      <c r="N76" s="664"/>
      <c r="O76" s="117"/>
      <c r="P76" s="117"/>
    </row>
    <row r="77" s="42" customFormat="true" ht="0.75" hidden="true" customHeight="true" outlineLevel="0" collapsed="false">
      <c r="A77" s="131"/>
      <c r="B77" s="131"/>
      <c r="C77" s="344" t="s">
        <v>1088</v>
      </c>
      <c r="D77" s="834"/>
      <c r="E77" s="299"/>
      <c r="F77" s="668"/>
      <c r="G77" s="833"/>
      <c r="H77" s="587"/>
      <c r="I77" s="167"/>
      <c r="J77" s="211"/>
      <c r="K77" s="587"/>
      <c r="L77" s="810"/>
      <c r="M77" s="832"/>
      <c r="N77" s="664"/>
      <c r="O77" s="117"/>
      <c r="P77" s="117"/>
    </row>
    <row r="78" s="42" customFormat="true" ht="18.75" hidden="true" customHeight="true" outlineLevel="0" collapsed="false">
      <c r="A78" s="131" t="s">
        <v>291</v>
      </c>
      <c r="B78" s="131" t="s">
        <v>292</v>
      </c>
      <c r="C78" s="344"/>
      <c r="D78" s="834"/>
      <c r="E78" s="299"/>
      <c r="F78" s="668" t="str">
        <f aca="false">INDEX(PT_DIFFERENTIATION_VTAR,MATCH(A78,PT_DIFFERENTIATION_VTAR_ID,0))</f>
        <v>Тариф на подключение (технологическое присоединение) к централизованной системе водоотведения</v>
      </c>
      <c r="G78" s="757" t="str">
        <f aca="false">INDEX(PT_DIFFERENTIATION_NTAR,MATCH(B78,PT_DIFFERENTIATION_NTAR_ID,0))</f>
        <v/>
      </c>
      <c r="H78" s="361"/>
      <c r="I78" s="822"/>
      <c r="J78" s="823"/>
      <c r="K78" s="434"/>
      <c r="L78" s="361" t="s">
        <v>322</v>
      </c>
      <c r="M78" s="832"/>
      <c r="N78" s="664"/>
      <c r="O78" s="117"/>
      <c r="P78" s="117"/>
    </row>
    <row r="79" s="42" customFormat="true" ht="18.75" hidden="true" customHeight="true" outlineLevel="0" collapsed="false">
      <c r="A79" s="131"/>
      <c r="B79" s="131"/>
      <c r="C79" s="344" t="s">
        <v>1082</v>
      </c>
      <c r="D79" s="834"/>
      <c r="E79" s="299"/>
      <c r="F79" s="668"/>
      <c r="G79" s="757"/>
      <c r="H79" s="587"/>
      <c r="I79" s="167" t="s">
        <v>1083</v>
      </c>
      <c r="J79" s="211"/>
      <c r="K79" s="587"/>
      <c r="L79" s="810"/>
      <c r="M79" s="832"/>
      <c r="N79" s="664"/>
      <c r="O79" s="117"/>
      <c r="P79" s="117"/>
    </row>
    <row r="80" s="42" customFormat="true" ht="0.75" hidden="false" customHeight="true" outlineLevel="0" collapsed="false">
      <c r="A80" s="131"/>
      <c r="B80" s="131"/>
      <c r="C80" s="344" t="s">
        <v>1088</v>
      </c>
      <c r="D80" s="834"/>
      <c r="E80" s="299"/>
      <c r="F80" s="668"/>
      <c r="G80" s="833"/>
      <c r="H80" s="587"/>
      <c r="I80" s="167"/>
      <c r="J80" s="211"/>
      <c r="K80" s="587"/>
      <c r="L80" s="810"/>
      <c r="M80" s="832"/>
      <c r="N80" s="664"/>
      <c r="O80" s="117"/>
      <c r="P80" s="117"/>
    </row>
    <row r="81" customFormat="false" ht="18.75" hidden="false" customHeight="true" outlineLevel="0" collapsed="false">
      <c r="A81" s="131"/>
      <c r="B81" s="131"/>
      <c r="D81" s="467"/>
      <c r="E81" s="299" t="s">
        <v>99</v>
      </c>
      <c r="F81" s="821"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821"/>
      <c r="H81" s="821"/>
      <c r="I81" s="821"/>
      <c r="J81" s="821"/>
      <c r="K81" s="821"/>
      <c r="L81" s="821"/>
      <c r="M81" s="800"/>
      <c r="N81" s="664"/>
    </row>
    <row r="82" customFormat="false" ht="33.75" hidden="false" customHeight="true" outlineLevel="0" collapsed="false">
      <c r="A82" s="131"/>
      <c r="B82" s="131"/>
      <c r="D82" s="467"/>
      <c r="E82" s="837"/>
      <c r="F82" s="184" t="s">
        <v>322</v>
      </c>
      <c r="G82" s="184" t="s">
        <v>322</v>
      </c>
      <c r="H82" s="184" t="s">
        <v>322</v>
      </c>
      <c r="I82" s="184"/>
      <c r="J82" s="184" t="s">
        <v>322</v>
      </c>
      <c r="K82" s="184" t="s">
        <v>322</v>
      </c>
      <c r="L82" s="639"/>
      <c r="M82" s="420" t="s">
        <v>1089</v>
      </c>
      <c r="N82" s="664"/>
    </row>
    <row r="83" customFormat="false" ht="18.75" hidden="false" customHeight="true" outlineLevel="0" collapsed="false">
      <c r="A83" s="131"/>
      <c r="B83" s="131"/>
      <c r="D83" s="467"/>
      <c r="E83" s="299" t="s">
        <v>86</v>
      </c>
      <c r="F83" s="821" t="s">
        <v>1090</v>
      </c>
      <c r="G83" s="821"/>
      <c r="H83" s="821"/>
      <c r="I83" s="821"/>
      <c r="J83" s="821"/>
      <c r="K83" s="821"/>
      <c r="L83" s="821"/>
      <c r="M83" s="800"/>
      <c r="N83" s="664"/>
    </row>
    <row r="84" s="42" customFormat="true" ht="60.75" hidden="true" customHeight="true" outlineLevel="0" collapsed="false">
      <c r="A84" s="131" t="s">
        <v>162</v>
      </c>
      <c r="B84" s="131" t="s">
        <v>163</v>
      </c>
      <c r="C84" s="344"/>
      <c r="D84" s="834"/>
      <c r="E84" s="299"/>
      <c r="F84" s="668" t="str">
        <f aca="false">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757" t="str">
        <f aca="false">INDEX(PT_DIFFERENTIATION_NTAR,MATCH(B84,PT_DIFFERENTIATION_NTAR_ID,0))</f>
        <v/>
      </c>
      <c r="H84" s="361"/>
      <c r="I84" s="822"/>
      <c r="J84" s="823"/>
      <c r="K84" s="374"/>
      <c r="L84" s="361" t="s">
        <v>322</v>
      </c>
      <c r="M84" s="798"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664"/>
      <c r="O84" s="117"/>
      <c r="P84" s="117"/>
    </row>
    <row r="85" s="42" customFormat="true" ht="18.75" hidden="true" customHeight="true" outlineLevel="0" collapsed="false">
      <c r="A85" s="131"/>
      <c r="B85" s="131"/>
      <c r="C85" s="344" t="s">
        <v>1084</v>
      </c>
      <c r="D85" s="834"/>
      <c r="E85" s="299"/>
      <c r="F85" s="668"/>
      <c r="G85" s="757"/>
      <c r="H85" s="587"/>
      <c r="I85" s="167" t="s">
        <v>1083</v>
      </c>
      <c r="J85" s="211"/>
      <c r="K85" s="587"/>
      <c r="L85" s="810"/>
      <c r="M85" s="798"/>
      <c r="N85" s="664"/>
      <c r="O85" s="117"/>
      <c r="P85" s="117"/>
    </row>
    <row r="86" s="42" customFormat="true" ht="0.75" hidden="true" customHeight="true" outlineLevel="0" collapsed="false">
      <c r="A86" s="131"/>
      <c r="B86" s="131"/>
      <c r="C86" s="344" t="s">
        <v>1091</v>
      </c>
      <c r="D86" s="834"/>
      <c r="E86" s="299"/>
      <c r="F86" s="668"/>
      <c r="G86" s="833"/>
      <c r="H86" s="587"/>
      <c r="I86" s="167"/>
      <c r="J86" s="211"/>
      <c r="K86" s="587"/>
      <c r="L86" s="810"/>
      <c r="M86" s="798"/>
      <c r="N86" s="664"/>
      <c r="O86" s="117"/>
      <c r="P86" s="117"/>
    </row>
    <row r="87" s="42" customFormat="true" ht="45" hidden="true" customHeight="true" outlineLevel="0" collapsed="false">
      <c r="A87" s="131" t="s">
        <v>168</v>
      </c>
      <c r="B87" s="131" t="s">
        <v>169</v>
      </c>
      <c r="C87" s="344"/>
      <c r="D87" s="834"/>
      <c r="E87" s="299"/>
      <c r="F87" s="668" t="str">
        <f aca="false">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757" t="str">
        <f aca="false">INDEX(PT_DIFFERENTIATION_NTAR,MATCH(B87,PT_DIFFERENTIATION_NTAR_ID,0))</f>
        <v/>
      </c>
      <c r="H87" s="361"/>
      <c r="I87" s="822"/>
      <c r="J87" s="823"/>
      <c r="K87" s="374"/>
      <c r="L87" s="361" t="s">
        <v>322</v>
      </c>
      <c r="M87" s="798"/>
      <c r="N87" s="664"/>
      <c r="O87" s="117"/>
      <c r="P87" s="117"/>
    </row>
    <row r="88" s="42" customFormat="true" ht="18.75" hidden="true" customHeight="true" outlineLevel="0" collapsed="false">
      <c r="A88" s="131"/>
      <c r="B88" s="131"/>
      <c r="C88" s="344" t="s">
        <v>1084</v>
      </c>
      <c r="D88" s="834"/>
      <c r="E88" s="299"/>
      <c r="F88" s="668"/>
      <c r="G88" s="757"/>
      <c r="H88" s="587"/>
      <c r="I88" s="167" t="s">
        <v>1083</v>
      </c>
      <c r="J88" s="211"/>
      <c r="K88" s="587"/>
      <c r="L88" s="810"/>
      <c r="M88" s="838"/>
      <c r="N88" s="664"/>
      <c r="O88" s="117"/>
      <c r="P88" s="117"/>
    </row>
    <row r="89" s="42" customFormat="true" ht="0.75" hidden="true" customHeight="true" outlineLevel="0" collapsed="false">
      <c r="A89" s="131"/>
      <c r="B89" s="131"/>
      <c r="C89" s="344" t="s">
        <v>1091</v>
      </c>
      <c r="D89" s="834"/>
      <c r="E89" s="299"/>
      <c r="F89" s="668"/>
      <c r="G89" s="833"/>
      <c r="H89" s="587"/>
      <c r="I89" s="167"/>
      <c r="J89" s="211"/>
      <c r="K89" s="587"/>
      <c r="L89" s="810"/>
      <c r="M89" s="815"/>
      <c r="N89" s="664"/>
      <c r="O89" s="117"/>
      <c r="P89" s="117"/>
    </row>
    <row r="90" s="42" customFormat="true" ht="45" hidden="true" customHeight="true" outlineLevel="0" collapsed="false">
      <c r="A90" s="131" t="s">
        <v>174</v>
      </c>
      <c r="B90" s="131" t="s">
        <v>175</v>
      </c>
      <c r="C90" s="344"/>
      <c r="D90" s="834"/>
      <c r="E90" s="299"/>
      <c r="F90" s="668" t="str">
        <f aca="false">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757" t="str">
        <f aca="false">INDEX(PT_DIFFERENTIATION_NTAR,MATCH(B90,PT_DIFFERENTIATION_NTAR_ID,0))</f>
        <v/>
      </c>
      <c r="H90" s="361"/>
      <c r="I90" s="822"/>
      <c r="J90" s="823"/>
      <c r="K90" s="374"/>
      <c r="L90" s="361" t="s">
        <v>322</v>
      </c>
      <c r="M90" s="815"/>
      <c r="N90" s="664"/>
      <c r="O90" s="117"/>
      <c r="P90" s="117"/>
    </row>
    <row r="91" s="42" customFormat="true" ht="18.75" hidden="true" customHeight="true" outlineLevel="0" collapsed="false">
      <c r="A91" s="131"/>
      <c r="B91" s="131"/>
      <c r="C91" s="344" t="s">
        <v>1084</v>
      </c>
      <c r="D91" s="834"/>
      <c r="E91" s="299"/>
      <c r="F91" s="668"/>
      <c r="G91" s="757"/>
      <c r="H91" s="587"/>
      <c r="I91" s="167" t="s">
        <v>1083</v>
      </c>
      <c r="J91" s="211"/>
      <c r="K91" s="587"/>
      <c r="L91" s="810"/>
      <c r="M91" s="815"/>
      <c r="N91" s="664"/>
      <c r="O91" s="117"/>
      <c r="P91" s="117"/>
    </row>
    <row r="92" s="42" customFormat="true" ht="0.75" hidden="true" customHeight="true" outlineLevel="0" collapsed="false">
      <c r="A92" s="131"/>
      <c r="B92" s="131"/>
      <c r="C92" s="344" t="s">
        <v>1091</v>
      </c>
      <c r="D92" s="834"/>
      <c r="E92" s="299"/>
      <c r="F92" s="668"/>
      <c r="G92" s="833"/>
      <c r="H92" s="587"/>
      <c r="I92" s="167"/>
      <c r="J92" s="211"/>
      <c r="K92" s="587"/>
      <c r="L92" s="810"/>
      <c r="M92" s="815"/>
      <c r="N92" s="664"/>
      <c r="O92" s="117"/>
      <c r="P92" s="117"/>
    </row>
    <row r="93" s="42" customFormat="true" ht="45" hidden="true" customHeight="true" outlineLevel="0" collapsed="false">
      <c r="A93" s="131" t="s">
        <v>180</v>
      </c>
      <c r="B93" s="131" t="s">
        <v>181</v>
      </c>
      <c r="C93" s="344"/>
      <c r="D93" s="834"/>
      <c r="E93" s="299"/>
      <c r="F93" s="668" t="str">
        <f aca="false">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757" t="str">
        <f aca="false">INDEX(PT_DIFFERENTIATION_NTAR,MATCH(B93,PT_DIFFERENTIATION_NTAR_ID,0))</f>
        <v/>
      </c>
      <c r="H93" s="361"/>
      <c r="I93" s="822"/>
      <c r="J93" s="823"/>
      <c r="K93" s="374"/>
      <c r="L93" s="361" t="s">
        <v>322</v>
      </c>
      <c r="M93" s="815"/>
      <c r="N93" s="664"/>
      <c r="O93" s="117"/>
      <c r="P93" s="117"/>
    </row>
    <row r="94" s="42" customFormat="true" ht="18.75" hidden="true" customHeight="true" outlineLevel="0" collapsed="false">
      <c r="A94" s="131"/>
      <c r="B94" s="131"/>
      <c r="C94" s="344" t="s">
        <v>1084</v>
      </c>
      <c r="D94" s="834"/>
      <c r="E94" s="299"/>
      <c r="F94" s="668"/>
      <c r="G94" s="757"/>
      <c r="H94" s="587"/>
      <c r="I94" s="167" t="s">
        <v>1083</v>
      </c>
      <c r="J94" s="211"/>
      <c r="K94" s="587"/>
      <c r="L94" s="810"/>
      <c r="M94" s="815"/>
      <c r="N94" s="664"/>
      <c r="O94" s="117"/>
      <c r="P94" s="117"/>
    </row>
    <row r="95" s="42" customFormat="true" ht="0.75" hidden="true" customHeight="true" outlineLevel="0" collapsed="false">
      <c r="A95" s="131"/>
      <c r="B95" s="131"/>
      <c r="C95" s="344" t="s">
        <v>1091</v>
      </c>
      <c r="D95" s="834"/>
      <c r="E95" s="299"/>
      <c r="F95" s="668"/>
      <c r="G95" s="833"/>
      <c r="H95" s="587"/>
      <c r="I95" s="167"/>
      <c r="J95" s="211"/>
      <c r="K95" s="587"/>
      <c r="L95" s="810"/>
      <c r="M95" s="815"/>
      <c r="N95" s="664"/>
      <c r="O95" s="117"/>
      <c r="P95" s="117"/>
    </row>
    <row r="96" s="42" customFormat="true" ht="18.75" hidden="true" customHeight="true" outlineLevel="0" collapsed="false">
      <c r="A96" s="131" t="s">
        <v>186</v>
      </c>
      <c r="B96" s="131" t="s">
        <v>187</v>
      </c>
      <c r="C96" s="344"/>
      <c r="D96" s="834"/>
      <c r="E96" s="299"/>
      <c r="F96" s="668" t="str">
        <f aca="false">INDEX(PT_DIFFERENTIATION_VTAR,MATCH(A96,PT_DIFFERENTIATION_VTAR_ID,0))</f>
        <v>Тарифы на услуги по передаче тепловой энергии</v>
      </c>
      <c r="G96" s="757" t="str">
        <f aca="false">INDEX(PT_DIFFERENTIATION_NTAR,MATCH(B96,PT_DIFFERENTIATION_NTAR_ID,0))</f>
        <v/>
      </c>
      <c r="H96" s="361"/>
      <c r="I96" s="822"/>
      <c r="J96" s="823"/>
      <c r="K96" s="374"/>
      <c r="L96" s="361" t="s">
        <v>322</v>
      </c>
      <c r="M96" s="815"/>
      <c r="N96" s="664"/>
      <c r="O96" s="117"/>
      <c r="P96" s="117"/>
    </row>
    <row r="97" s="42" customFormat="true" ht="18.75" hidden="true" customHeight="true" outlineLevel="0" collapsed="false">
      <c r="A97" s="131"/>
      <c r="B97" s="131"/>
      <c r="C97" s="344" t="s">
        <v>1084</v>
      </c>
      <c r="D97" s="834"/>
      <c r="E97" s="299"/>
      <c r="F97" s="668"/>
      <c r="G97" s="757"/>
      <c r="H97" s="587"/>
      <c r="I97" s="167" t="s">
        <v>1083</v>
      </c>
      <c r="J97" s="211"/>
      <c r="K97" s="587"/>
      <c r="L97" s="810"/>
      <c r="M97" s="815"/>
      <c r="N97" s="664"/>
      <c r="O97" s="117"/>
      <c r="P97" s="117"/>
    </row>
    <row r="98" s="42" customFormat="true" ht="0.75" hidden="true" customHeight="true" outlineLevel="0" collapsed="false">
      <c r="A98" s="131"/>
      <c r="B98" s="131"/>
      <c r="C98" s="344" t="s">
        <v>1091</v>
      </c>
      <c r="D98" s="834"/>
      <c r="E98" s="299"/>
      <c r="F98" s="668"/>
      <c r="G98" s="833"/>
      <c r="H98" s="587"/>
      <c r="I98" s="167"/>
      <c r="J98" s="211"/>
      <c r="K98" s="587"/>
      <c r="L98" s="810"/>
      <c r="M98" s="815"/>
      <c r="N98" s="664"/>
      <c r="O98" s="117"/>
      <c r="P98" s="117"/>
    </row>
    <row r="99" s="42" customFormat="true" ht="18.75" hidden="true" customHeight="true" outlineLevel="0" collapsed="false">
      <c r="A99" s="131" t="s">
        <v>192</v>
      </c>
      <c r="B99" s="131" t="s">
        <v>193</v>
      </c>
      <c r="C99" s="344"/>
      <c r="D99" s="834"/>
      <c r="E99" s="299"/>
      <c r="F99" s="668" t="str">
        <f aca="false">INDEX(PT_DIFFERENTIATION_VTAR,MATCH(A99,PT_DIFFERENTIATION_VTAR_ID,0))</f>
        <v>Тарифы на услуги по передаче теплоносителя</v>
      </c>
      <c r="G99" s="757" t="str">
        <f aca="false">INDEX(PT_DIFFERENTIATION_NTAR,MATCH(B99,PT_DIFFERENTIATION_NTAR_ID,0))</f>
        <v/>
      </c>
      <c r="H99" s="361"/>
      <c r="I99" s="822"/>
      <c r="J99" s="823"/>
      <c r="K99" s="374"/>
      <c r="L99" s="361" t="s">
        <v>322</v>
      </c>
      <c r="M99" s="815"/>
      <c r="N99" s="664"/>
      <c r="O99" s="117"/>
      <c r="P99" s="117"/>
    </row>
    <row r="100" s="42" customFormat="true" ht="18.75" hidden="true" customHeight="true" outlineLevel="0" collapsed="false">
      <c r="A100" s="131"/>
      <c r="B100" s="131"/>
      <c r="C100" s="344" t="s">
        <v>1084</v>
      </c>
      <c r="D100" s="834"/>
      <c r="E100" s="299"/>
      <c r="F100" s="668"/>
      <c r="G100" s="757"/>
      <c r="H100" s="587"/>
      <c r="I100" s="167" t="s">
        <v>1083</v>
      </c>
      <c r="J100" s="211"/>
      <c r="K100" s="587"/>
      <c r="L100" s="810"/>
      <c r="M100" s="815"/>
      <c r="N100" s="664"/>
      <c r="O100" s="117"/>
      <c r="P100" s="117"/>
    </row>
    <row r="101" s="42" customFormat="true" ht="0.75" hidden="true" customHeight="true" outlineLevel="0" collapsed="false">
      <c r="A101" s="131"/>
      <c r="B101" s="131"/>
      <c r="C101" s="344" t="s">
        <v>1091</v>
      </c>
      <c r="D101" s="834"/>
      <c r="E101" s="299"/>
      <c r="F101" s="668"/>
      <c r="G101" s="833"/>
      <c r="H101" s="587"/>
      <c r="I101" s="167"/>
      <c r="J101" s="211"/>
      <c r="K101" s="587"/>
      <c r="L101" s="810"/>
      <c r="M101" s="815"/>
      <c r="N101" s="664"/>
      <c r="O101" s="117"/>
      <c r="P101" s="117"/>
    </row>
    <row r="102" s="42" customFormat="true" ht="18.75" hidden="true" customHeight="true" outlineLevel="0" collapsed="false">
      <c r="A102" s="131" t="s">
        <v>198</v>
      </c>
      <c r="B102" s="131" t="s">
        <v>199</v>
      </c>
      <c r="C102" s="344"/>
      <c r="D102" s="834"/>
      <c r="E102" s="299"/>
      <c r="F102" s="668" t="str">
        <f aca="false">INDEX(PT_DIFFERENTIATION_VTAR,MATCH(A102,PT_DIFFERENTIATION_VTAR_ID,0))</f>
        <v>Плата за услуги по поддержанию резервной тепловой мощности при отсутствии потребления тепловой энергии</v>
      </c>
      <c r="G102" s="757" t="str">
        <f aca="false">INDEX(PT_DIFFERENTIATION_NTAR,MATCH(B102,PT_DIFFERENTIATION_NTAR_ID,0))</f>
        <v/>
      </c>
      <c r="H102" s="361"/>
      <c r="I102" s="822"/>
      <c r="J102" s="823"/>
      <c r="K102" s="374"/>
      <c r="L102" s="361" t="s">
        <v>322</v>
      </c>
      <c r="M102" s="815"/>
      <c r="N102" s="664"/>
      <c r="O102" s="117"/>
      <c r="P102" s="117"/>
    </row>
    <row r="103" s="42" customFormat="true" ht="18.75" hidden="true" customHeight="true" outlineLevel="0" collapsed="false">
      <c r="A103" s="131"/>
      <c r="B103" s="131"/>
      <c r="C103" s="344" t="s">
        <v>1084</v>
      </c>
      <c r="D103" s="834"/>
      <c r="E103" s="299"/>
      <c r="F103" s="668"/>
      <c r="G103" s="757"/>
      <c r="H103" s="587"/>
      <c r="I103" s="167" t="s">
        <v>1083</v>
      </c>
      <c r="J103" s="211"/>
      <c r="K103" s="587"/>
      <c r="L103" s="810"/>
      <c r="M103" s="815"/>
      <c r="N103" s="664"/>
      <c r="O103" s="117"/>
      <c r="P103" s="117"/>
    </row>
    <row r="104" s="42" customFormat="true" ht="0.75" hidden="true" customHeight="true" outlineLevel="0" collapsed="false">
      <c r="A104" s="131"/>
      <c r="B104" s="131"/>
      <c r="C104" s="344" t="s">
        <v>1091</v>
      </c>
      <c r="D104" s="834"/>
      <c r="E104" s="299"/>
      <c r="F104" s="668"/>
      <c r="G104" s="833"/>
      <c r="H104" s="587"/>
      <c r="I104" s="167"/>
      <c r="J104" s="211"/>
      <c r="K104" s="587"/>
      <c r="L104" s="810"/>
      <c r="M104" s="815"/>
      <c r="N104" s="664"/>
      <c r="O104" s="117"/>
      <c r="P104" s="117"/>
    </row>
    <row r="105" s="42" customFormat="true" ht="18.75" hidden="true" customHeight="true" outlineLevel="0" collapsed="false">
      <c r="A105" s="131" t="s">
        <v>204</v>
      </c>
      <c r="B105" s="131" t="s">
        <v>205</v>
      </c>
      <c r="C105" s="344"/>
      <c r="D105" s="834"/>
      <c r="E105" s="299"/>
      <c r="F105" s="668" t="str">
        <f aca="false">INDEX(PT_DIFFERENTIATION_VTAR,MATCH(A105,PT_DIFFERENTIATION_VTAR_ID,0))</f>
        <v>Плата за подключение (технологическое присоединение) к системе теплоснабжения</v>
      </c>
      <c r="G105" s="757" t="str">
        <f aca="false">INDEX(PT_DIFFERENTIATION_NTAR,MATCH(B105,PT_DIFFERENTIATION_NTAR_ID,0))</f>
        <v/>
      </c>
      <c r="H105" s="361"/>
      <c r="I105" s="822"/>
      <c r="J105" s="823"/>
      <c r="K105" s="374"/>
      <c r="L105" s="361" t="s">
        <v>322</v>
      </c>
      <c r="M105" s="815"/>
      <c r="N105" s="664"/>
      <c r="O105" s="117"/>
      <c r="P105" s="117"/>
    </row>
    <row r="106" s="42" customFormat="true" ht="18.75" hidden="true" customHeight="true" outlineLevel="0" collapsed="false">
      <c r="A106" s="131"/>
      <c r="B106" s="131"/>
      <c r="C106" s="344" t="s">
        <v>1084</v>
      </c>
      <c r="D106" s="834"/>
      <c r="E106" s="299"/>
      <c r="F106" s="668"/>
      <c r="G106" s="757"/>
      <c r="H106" s="587"/>
      <c r="I106" s="167" t="s">
        <v>1083</v>
      </c>
      <c r="J106" s="211"/>
      <c r="K106" s="587"/>
      <c r="L106" s="810"/>
      <c r="M106" s="815"/>
      <c r="N106" s="664"/>
      <c r="O106" s="117"/>
      <c r="P106" s="117"/>
    </row>
    <row r="107" s="42" customFormat="true" ht="0.75" hidden="true" customHeight="true" outlineLevel="0" collapsed="false">
      <c r="A107" s="131"/>
      <c r="B107" s="131"/>
      <c r="C107" s="344" t="s">
        <v>1091</v>
      </c>
      <c r="D107" s="834"/>
      <c r="E107" s="299"/>
      <c r="F107" s="668"/>
      <c r="G107" s="833"/>
      <c r="H107" s="587"/>
      <c r="I107" s="167"/>
      <c r="J107" s="211"/>
      <c r="K107" s="587"/>
      <c r="L107" s="810"/>
      <c r="M107" s="815"/>
      <c r="N107" s="664"/>
      <c r="O107" s="117"/>
      <c r="P107" s="117"/>
    </row>
    <row r="108" s="42" customFormat="true" ht="18.75" hidden="true" customHeight="true" outlineLevel="0" collapsed="false">
      <c r="A108" s="131" t="s">
        <v>230</v>
      </c>
      <c r="B108" s="131" t="s">
        <v>231</v>
      </c>
      <c r="C108" s="344"/>
      <c r="D108" s="834"/>
      <c r="E108" s="299"/>
      <c r="F108" s="668" t="str">
        <f aca="false">INDEX(PT_DIFFERENTIATION_VTAR,MATCH(A108,PT_DIFFERENTIATION_VTAR_ID,0))</f>
        <v>Тариф на питьевую воду (питьевое водоснабжение)</v>
      </c>
      <c r="G108" s="757" t="str">
        <f aca="false">INDEX(PT_DIFFERENTIATION_NTAR,MATCH(B108,PT_DIFFERENTIATION_NTAR_ID,0))</f>
        <v/>
      </c>
      <c r="H108" s="361"/>
      <c r="I108" s="822"/>
      <c r="J108" s="823"/>
      <c r="K108" s="374"/>
      <c r="L108" s="361" t="s">
        <v>322</v>
      </c>
      <c r="M108" s="815"/>
      <c r="N108" s="664"/>
      <c r="O108" s="117"/>
      <c r="P108" s="117"/>
    </row>
    <row r="109" s="42" customFormat="true" ht="18.75" hidden="true" customHeight="true" outlineLevel="0" collapsed="false">
      <c r="A109" s="131"/>
      <c r="B109" s="131"/>
      <c r="C109" s="344" t="s">
        <v>1084</v>
      </c>
      <c r="D109" s="834"/>
      <c r="E109" s="299"/>
      <c r="F109" s="668"/>
      <c r="G109" s="757"/>
      <c r="H109" s="587"/>
      <c r="I109" s="167" t="s">
        <v>1083</v>
      </c>
      <c r="J109" s="211"/>
      <c r="K109" s="587"/>
      <c r="L109" s="810"/>
      <c r="M109" s="815"/>
      <c r="N109" s="664"/>
      <c r="O109" s="117"/>
      <c r="P109" s="117"/>
    </row>
    <row r="110" s="42" customFormat="true" ht="0.75" hidden="true" customHeight="true" outlineLevel="0" collapsed="false">
      <c r="A110" s="131"/>
      <c r="B110" s="131"/>
      <c r="C110" s="344" t="s">
        <v>1091</v>
      </c>
      <c r="D110" s="834"/>
      <c r="E110" s="299"/>
      <c r="F110" s="668"/>
      <c r="G110" s="833"/>
      <c r="H110" s="587"/>
      <c r="I110" s="167"/>
      <c r="J110" s="211"/>
      <c r="K110" s="587"/>
      <c r="L110" s="810"/>
      <c r="M110" s="815"/>
      <c r="N110" s="664"/>
      <c r="O110" s="117"/>
      <c r="P110" s="117"/>
    </row>
    <row r="111" s="42" customFormat="true" ht="18.75" hidden="true" customHeight="true" outlineLevel="0" collapsed="false">
      <c r="A111" s="131" t="s">
        <v>235</v>
      </c>
      <c r="B111" s="131" t="s">
        <v>236</v>
      </c>
      <c r="C111" s="344"/>
      <c r="D111" s="834"/>
      <c r="E111" s="299"/>
      <c r="F111" s="668" t="str">
        <f aca="false">INDEX(PT_DIFFERENTIATION_VTAR,MATCH(A111,PT_DIFFERENTIATION_VTAR_ID,0))</f>
        <v>Тариф на техническую воду</v>
      </c>
      <c r="G111" s="757" t="str">
        <f aca="false">INDEX(PT_DIFFERENTIATION_NTAR,MATCH(B111,PT_DIFFERENTIATION_NTAR_ID,0))</f>
        <v/>
      </c>
      <c r="H111" s="361"/>
      <c r="I111" s="822"/>
      <c r="J111" s="823"/>
      <c r="K111" s="374"/>
      <c r="L111" s="361" t="s">
        <v>322</v>
      </c>
      <c r="M111" s="815"/>
      <c r="N111" s="664"/>
      <c r="O111" s="117"/>
      <c r="P111" s="117"/>
    </row>
    <row r="112" s="42" customFormat="true" ht="18.75" hidden="true" customHeight="true" outlineLevel="0" collapsed="false">
      <c r="A112" s="131"/>
      <c r="B112" s="131"/>
      <c r="C112" s="344" t="s">
        <v>1084</v>
      </c>
      <c r="D112" s="834"/>
      <c r="E112" s="299"/>
      <c r="F112" s="668"/>
      <c r="G112" s="757"/>
      <c r="H112" s="587"/>
      <c r="I112" s="167" t="s">
        <v>1083</v>
      </c>
      <c r="J112" s="211"/>
      <c r="K112" s="587"/>
      <c r="L112" s="810"/>
      <c r="M112" s="815"/>
      <c r="N112" s="664"/>
      <c r="O112" s="117"/>
      <c r="P112" s="117"/>
    </row>
    <row r="113" s="42" customFormat="true" ht="0.75" hidden="true" customHeight="true" outlineLevel="0" collapsed="false">
      <c r="A113" s="131"/>
      <c r="B113" s="131"/>
      <c r="C113" s="344" t="s">
        <v>1091</v>
      </c>
      <c r="D113" s="834"/>
      <c r="E113" s="299"/>
      <c r="F113" s="668"/>
      <c r="G113" s="833"/>
      <c r="H113" s="587"/>
      <c r="I113" s="167"/>
      <c r="J113" s="211"/>
      <c r="K113" s="587"/>
      <c r="L113" s="810"/>
      <c r="M113" s="815"/>
      <c r="N113" s="664"/>
      <c r="O113" s="117"/>
      <c r="P113" s="117"/>
    </row>
    <row r="114" s="42" customFormat="true" ht="18.75" hidden="true" customHeight="true" outlineLevel="0" collapsed="false">
      <c r="A114" s="131" t="s">
        <v>240</v>
      </c>
      <c r="B114" s="131" t="s">
        <v>241</v>
      </c>
      <c r="C114" s="344"/>
      <c r="D114" s="834"/>
      <c r="E114" s="299"/>
      <c r="F114" s="668" t="str">
        <f aca="false">INDEX(PT_DIFFERENTIATION_VTAR,MATCH(A114,PT_DIFFERENTIATION_VTAR_ID,0))</f>
        <v>Тариф на транспортировку воды</v>
      </c>
      <c r="G114" s="757" t="str">
        <f aca="false">INDEX(PT_DIFFERENTIATION_NTAR,MATCH(B114,PT_DIFFERENTIATION_NTAR_ID,0))</f>
        <v/>
      </c>
      <c r="H114" s="361"/>
      <c r="I114" s="822"/>
      <c r="J114" s="823"/>
      <c r="K114" s="374"/>
      <c r="L114" s="361" t="s">
        <v>322</v>
      </c>
      <c r="M114" s="815"/>
      <c r="N114" s="664"/>
      <c r="O114" s="117"/>
      <c r="P114" s="117"/>
    </row>
    <row r="115" s="42" customFormat="true" ht="18.75" hidden="true" customHeight="true" outlineLevel="0" collapsed="false">
      <c r="A115" s="131"/>
      <c r="B115" s="131"/>
      <c r="C115" s="344" t="s">
        <v>1084</v>
      </c>
      <c r="D115" s="834"/>
      <c r="E115" s="299"/>
      <c r="F115" s="668"/>
      <c r="G115" s="757"/>
      <c r="H115" s="587"/>
      <c r="I115" s="167" t="s">
        <v>1083</v>
      </c>
      <c r="J115" s="211"/>
      <c r="K115" s="587"/>
      <c r="L115" s="810"/>
      <c r="M115" s="815"/>
      <c r="N115" s="664"/>
      <c r="O115" s="117"/>
      <c r="P115" s="117"/>
    </row>
    <row r="116" s="42" customFormat="true" ht="0.75" hidden="true" customHeight="true" outlineLevel="0" collapsed="false">
      <c r="A116" s="131"/>
      <c r="B116" s="131"/>
      <c r="C116" s="344" t="s">
        <v>1091</v>
      </c>
      <c r="D116" s="834"/>
      <c r="E116" s="299"/>
      <c r="F116" s="668"/>
      <c r="G116" s="833"/>
      <c r="H116" s="587"/>
      <c r="I116" s="167"/>
      <c r="J116" s="211"/>
      <c r="K116" s="587"/>
      <c r="L116" s="810"/>
      <c r="M116" s="815"/>
      <c r="N116" s="664"/>
      <c r="O116" s="117"/>
      <c r="P116" s="117"/>
    </row>
    <row r="117" s="42" customFormat="true" ht="18.75" hidden="true" customHeight="true" outlineLevel="0" collapsed="false">
      <c r="A117" s="131" t="s">
        <v>245</v>
      </c>
      <c r="B117" s="131" t="s">
        <v>246</v>
      </c>
      <c r="C117" s="344"/>
      <c r="D117" s="834"/>
      <c r="E117" s="299"/>
      <c r="F117" s="668" t="str">
        <f aca="false">INDEX(PT_DIFFERENTIATION_VTAR,MATCH(A117,PT_DIFFERENTIATION_VTAR_ID,0))</f>
        <v>Тариф на подвоз воды</v>
      </c>
      <c r="G117" s="757" t="str">
        <f aca="false">INDEX(PT_DIFFERENTIATION_NTAR,MATCH(B117,PT_DIFFERENTIATION_NTAR_ID,0))</f>
        <v/>
      </c>
      <c r="H117" s="361"/>
      <c r="I117" s="822"/>
      <c r="J117" s="823"/>
      <c r="K117" s="374"/>
      <c r="L117" s="361" t="s">
        <v>322</v>
      </c>
      <c r="M117" s="815"/>
      <c r="N117" s="664"/>
      <c r="O117" s="117"/>
      <c r="P117" s="117"/>
    </row>
    <row r="118" s="42" customFormat="true" ht="18.75" hidden="true" customHeight="true" outlineLevel="0" collapsed="false">
      <c r="A118" s="131"/>
      <c r="B118" s="131"/>
      <c r="C118" s="344" t="s">
        <v>1084</v>
      </c>
      <c r="D118" s="834"/>
      <c r="E118" s="299"/>
      <c r="F118" s="668"/>
      <c r="G118" s="757"/>
      <c r="H118" s="587"/>
      <c r="I118" s="167" t="s">
        <v>1083</v>
      </c>
      <c r="J118" s="211"/>
      <c r="K118" s="587"/>
      <c r="L118" s="810"/>
      <c r="M118" s="815"/>
      <c r="N118" s="664"/>
      <c r="O118" s="117"/>
      <c r="P118" s="117"/>
    </row>
    <row r="119" s="42" customFormat="true" ht="0.75" hidden="true" customHeight="true" outlineLevel="0" collapsed="false">
      <c r="A119" s="131"/>
      <c r="B119" s="131"/>
      <c r="C119" s="344" t="s">
        <v>1091</v>
      </c>
      <c r="D119" s="834"/>
      <c r="E119" s="299"/>
      <c r="F119" s="668"/>
      <c r="G119" s="833"/>
      <c r="H119" s="587"/>
      <c r="I119" s="167"/>
      <c r="J119" s="211"/>
      <c r="K119" s="587"/>
      <c r="L119" s="810"/>
      <c r="M119" s="815"/>
      <c r="N119" s="664"/>
      <c r="O119" s="117"/>
      <c r="P119" s="117"/>
    </row>
    <row r="120" s="42" customFormat="true" ht="18.75" hidden="true" customHeight="true" outlineLevel="0" collapsed="false">
      <c r="A120" s="131" t="s">
        <v>250</v>
      </c>
      <c r="B120" s="131" t="s">
        <v>251</v>
      </c>
      <c r="C120" s="344"/>
      <c r="D120" s="834"/>
      <c r="E120" s="299"/>
      <c r="F120" s="668" t="str">
        <f aca="false">INDEX(PT_DIFFERENTIATION_VTAR,MATCH(A120,PT_DIFFERENTIATION_VTAR_ID,0))</f>
        <v>Тариф на подключение (технологическое присоединение) к централизованной системе холодного водоснабжения</v>
      </c>
      <c r="G120" s="757" t="str">
        <f aca="false">INDEX(PT_DIFFERENTIATION_NTAR,MATCH(B120,PT_DIFFERENTIATION_NTAR_ID,0))</f>
        <v/>
      </c>
      <c r="H120" s="361"/>
      <c r="I120" s="822"/>
      <c r="J120" s="823"/>
      <c r="K120" s="374"/>
      <c r="L120" s="361" t="s">
        <v>322</v>
      </c>
      <c r="M120" s="815"/>
      <c r="N120" s="664"/>
      <c r="O120" s="117"/>
      <c r="P120" s="117"/>
    </row>
    <row r="121" s="42" customFormat="true" ht="18.75" hidden="true" customHeight="true" outlineLevel="0" collapsed="false">
      <c r="A121" s="131"/>
      <c r="B121" s="131"/>
      <c r="C121" s="344" t="s">
        <v>1084</v>
      </c>
      <c r="D121" s="834"/>
      <c r="E121" s="299"/>
      <c r="F121" s="668"/>
      <c r="G121" s="757"/>
      <c r="H121" s="587"/>
      <c r="I121" s="167" t="s">
        <v>1083</v>
      </c>
      <c r="J121" s="211"/>
      <c r="K121" s="587"/>
      <c r="L121" s="810"/>
      <c r="M121" s="815"/>
      <c r="N121" s="664"/>
      <c r="O121" s="117"/>
      <c r="P121" s="117"/>
    </row>
    <row r="122" s="42" customFormat="true" ht="0.75" hidden="true" customHeight="true" outlineLevel="0" collapsed="false">
      <c r="A122" s="131"/>
      <c r="B122" s="131"/>
      <c r="C122" s="344" t="s">
        <v>1091</v>
      </c>
      <c r="D122" s="834"/>
      <c r="E122" s="299"/>
      <c r="F122" s="668"/>
      <c r="G122" s="833"/>
      <c r="H122" s="587"/>
      <c r="I122" s="167"/>
      <c r="J122" s="211"/>
      <c r="K122" s="587"/>
      <c r="L122" s="810"/>
      <c r="M122" s="815"/>
      <c r="N122" s="664"/>
      <c r="O122" s="117"/>
      <c r="P122" s="117"/>
    </row>
    <row r="123" s="42" customFormat="true" ht="18.75" hidden="true" customHeight="true" outlineLevel="0" collapsed="false">
      <c r="A123" s="131" t="s">
        <v>257</v>
      </c>
      <c r="B123" s="131" t="s">
        <v>258</v>
      </c>
      <c r="C123" s="344"/>
      <c r="D123" s="834"/>
      <c r="E123" s="299"/>
      <c r="F123" s="668" t="str">
        <f aca="false">INDEX(PT_DIFFERENTIATION_VTAR,MATCH(A123,PT_DIFFERENTIATION_VTAR_ID,0))</f>
        <v>Тариф на горячую воду (горячее водоснабжение)</v>
      </c>
      <c r="G123" s="757" t="str">
        <f aca="false">INDEX(PT_DIFFERENTIATION_NTAR,MATCH(B123,PT_DIFFERENTIATION_NTAR_ID,0))</f>
        <v>тариф на горячую воду в закрытой системе горячего водоснабжения</v>
      </c>
      <c r="H123" s="361"/>
      <c r="I123" s="822"/>
      <c r="J123" s="823"/>
      <c r="K123" s="374"/>
      <c r="L123" s="361" t="s">
        <v>322</v>
      </c>
      <c r="M123" s="815"/>
      <c r="N123" s="664"/>
      <c r="O123" s="117"/>
      <c r="P123" s="117"/>
    </row>
    <row r="124" s="42" customFormat="true" ht="18.75" hidden="true" customHeight="true" outlineLevel="0" collapsed="false">
      <c r="A124" s="131"/>
      <c r="B124" s="131"/>
      <c r="C124" s="344" t="s">
        <v>1084</v>
      </c>
      <c r="D124" s="834"/>
      <c r="E124" s="299"/>
      <c r="F124" s="668"/>
      <c r="G124" s="757"/>
      <c r="H124" s="587"/>
      <c r="I124" s="167" t="s">
        <v>1083</v>
      </c>
      <c r="J124" s="211"/>
      <c r="K124" s="587"/>
      <c r="L124" s="810"/>
      <c r="M124" s="815"/>
      <c r="N124" s="664"/>
      <c r="O124" s="117"/>
      <c r="P124" s="117"/>
    </row>
    <row r="125" s="42" customFormat="true" ht="0.75" hidden="true" customHeight="true" outlineLevel="0" collapsed="false">
      <c r="A125" s="131"/>
      <c r="B125" s="131"/>
      <c r="C125" s="344" t="s">
        <v>1091</v>
      </c>
      <c r="D125" s="834"/>
      <c r="E125" s="299"/>
      <c r="F125" s="668"/>
      <c r="G125" s="833"/>
      <c r="H125" s="587"/>
      <c r="I125" s="167"/>
      <c r="J125" s="211"/>
      <c r="K125" s="587"/>
      <c r="L125" s="810"/>
      <c r="M125" s="815"/>
      <c r="N125" s="664"/>
      <c r="O125" s="117"/>
      <c r="P125" s="117"/>
    </row>
    <row r="126" s="42" customFormat="true" ht="18.75" hidden="true" customHeight="true" outlineLevel="0" collapsed="false">
      <c r="A126" s="131" t="s">
        <v>271</v>
      </c>
      <c r="B126" s="131" t="s">
        <v>272</v>
      </c>
      <c r="C126" s="344"/>
      <c r="D126" s="834"/>
      <c r="E126" s="299"/>
      <c r="F126" s="668" t="str">
        <f aca="false">INDEX(PT_DIFFERENTIATION_VTAR,MATCH(A126,PT_DIFFERENTIATION_VTAR_ID,0))</f>
        <v>Тариф на транспортировку горячей воды</v>
      </c>
      <c r="G126" s="757" t="str">
        <f aca="false">INDEX(PT_DIFFERENTIATION_NTAR,MATCH(B126,PT_DIFFERENTIATION_NTAR_ID,0))</f>
        <v/>
      </c>
      <c r="H126" s="361"/>
      <c r="I126" s="822"/>
      <c r="J126" s="823"/>
      <c r="K126" s="374"/>
      <c r="L126" s="361" t="s">
        <v>322</v>
      </c>
      <c r="M126" s="815"/>
      <c r="N126" s="664"/>
      <c r="O126" s="117"/>
      <c r="P126" s="117"/>
    </row>
    <row r="127" s="42" customFormat="true" ht="18.75" hidden="true" customHeight="true" outlineLevel="0" collapsed="false">
      <c r="A127" s="131"/>
      <c r="B127" s="131"/>
      <c r="C127" s="344" t="s">
        <v>1084</v>
      </c>
      <c r="D127" s="834"/>
      <c r="E127" s="299"/>
      <c r="F127" s="668"/>
      <c r="G127" s="757"/>
      <c r="H127" s="587"/>
      <c r="I127" s="167" t="s">
        <v>1083</v>
      </c>
      <c r="J127" s="211"/>
      <c r="K127" s="587"/>
      <c r="L127" s="810"/>
      <c r="M127" s="815"/>
      <c r="N127" s="664"/>
      <c r="O127" s="117"/>
      <c r="P127" s="117"/>
    </row>
    <row r="128" s="42" customFormat="true" ht="0.75" hidden="true" customHeight="true" outlineLevel="0" collapsed="false">
      <c r="A128" s="131"/>
      <c r="B128" s="131"/>
      <c r="C128" s="344" t="s">
        <v>1091</v>
      </c>
      <c r="D128" s="834"/>
      <c r="E128" s="299"/>
      <c r="F128" s="668"/>
      <c r="G128" s="833"/>
      <c r="H128" s="587"/>
      <c r="I128" s="167"/>
      <c r="J128" s="211"/>
      <c r="K128" s="587"/>
      <c r="L128" s="810"/>
      <c r="M128" s="815"/>
      <c r="N128" s="664"/>
      <c r="O128" s="117"/>
      <c r="P128" s="117"/>
    </row>
    <row r="129" s="42" customFormat="true" ht="18.75" hidden="true" customHeight="true" outlineLevel="0" collapsed="false">
      <c r="A129" s="131" t="s">
        <v>276</v>
      </c>
      <c r="B129" s="131" t="s">
        <v>277</v>
      </c>
      <c r="C129" s="344"/>
      <c r="D129" s="834"/>
      <c r="E129" s="299"/>
      <c r="F129" s="668" t="str">
        <f aca="false">INDEX(PT_DIFFERENTIATION_VTAR,MATCH(A129,PT_DIFFERENTIATION_VTAR_ID,0))</f>
        <v>Тариф на подключение (технологическое присоединение) к централизованной системе горячего водоснабжения</v>
      </c>
      <c r="G129" s="757" t="str">
        <f aca="false">INDEX(PT_DIFFERENTIATION_NTAR,MATCH(B129,PT_DIFFERENTIATION_NTAR_ID,0))</f>
        <v/>
      </c>
      <c r="H129" s="361"/>
      <c r="I129" s="822"/>
      <c r="J129" s="823"/>
      <c r="K129" s="374"/>
      <c r="L129" s="361" t="s">
        <v>322</v>
      </c>
      <c r="M129" s="815"/>
      <c r="N129" s="664"/>
      <c r="O129" s="117"/>
      <c r="P129" s="117"/>
    </row>
    <row r="130" s="42" customFormat="true" ht="18.75" hidden="true" customHeight="true" outlineLevel="0" collapsed="false">
      <c r="A130" s="131"/>
      <c r="B130" s="131"/>
      <c r="C130" s="344" t="s">
        <v>1084</v>
      </c>
      <c r="D130" s="834"/>
      <c r="E130" s="299"/>
      <c r="F130" s="668"/>
      <c r="G130" s="757"/>
      <c r="H130" s="587"/>
      <c r="I130" s="167" t="s">
        <v>1083</v>
      </c>
      <c r="J130" s="211"/>
      <c r="K130" s="587"/>
      <c r="L130" s="810"/>
      <c r="M130" s="815"/>
      <c r="N130" s="664"/>
      <c r="O130" s="117"/>
      <c r="P130" s="117"/>
    </row>
    <row r="131" s="42" customFormat="true" ht="0.75" hidden="true" customHeight="true" outlineLevel="0" collapsed="false">
      <c r="A131" s="131"/>
      <c r="B131" s="131"/>
      <c r="C131" s="344" t="s">
        <v>1091</v>
      </c>
      <c r="D131" s="834"/>
      <c r="E131" s="299"/>
      <c r="F131" s="668"/>
      <c r="G131" s="833"/>
      <c r="H131" s="587"/>
      <c r="I131" s="167"/>
      <c r="J131" s="211"/>
      <c r="K131" s="587"/>
      <c r="L131" s="810"/>
      <c r="M131" s="815"/>
      <c r="N131" s="664"/>
      <c r="O131" s="117"/>
      <c r="P131" s="117"/>
    </row>
    <row r="132" s="42" customFormat="true" ht="18.75" hidden="true" customHeight="true" outlineLevel="0" collapsed="false">
      <c r="A132" s="131" t="s">
        <v>281</v>
      </c>
      <c r="B132" s="131" t="s">
        <v>282</v>
      </c>
      <c r="C132" s="344"/>
      <c r="D132" s="834"/>
      <c r="E132" s="299"/>
      <c r="F132" s="668" t="str">
        <f aca="false">INDEX(PT_DIFFERENTIATION_VTAR,MATCH(A132,PT_DIFFERENTIATION_VTAR_ID,0))</f>
        <v>Тариф на водоотведение</v>
      </c>
      <c r="G132" s="757" t="str">
        <f aca="false">INDEX(PT_DIFFERENTIATION_NTAR,MATCH(B132,PT_DIFFERENTIATION_NTAR_ID,0))</f>
        <v/>
      </c>
      <c r="H132" s="361"/>
      <c r="I132" s="822"/>
      <c r="J132" s="823"/>
      <c r="K132" s="374"/>
      <c r="L132" s="361" t="s">
        <v>322</v>
      </c>
      <c r="M132" s="815"/>
      <c r="N132" s="664"/>
      <c r="O132" s="117"/>
      <c r="P132" s="117"/>
    </row>
    <row r="133" s="42" customFormat="true" ht="18.75" hidden="true" customHeight="true" outlineLevel="0" collapsed="false">
      <c r="A133" s="131"/>
      <c r="B133" s="131"/>
      <c r="C133" s="344" t="s">
        <v>1084</v>
      </c>
      <c r="D133" s="834"/>
      <c r="E133" s="299"/>
      <c r="F133" s="668"/>
      <c r="G133" s="757"/>
      <c r="H133" s="587"/>
      <c r="I133" s="167" t="s">
        <v>1083</v>
      </c>
      <c r="J133" s="211"/>
      <c r="K133" s="587"/>
      <c r="L133" s="810"/>
      <c r="M133" s="815"/>
      <c r="N133" s="664"/>
      <c r="O133" s="117"/>
      <c r="P133" s="117"/>
    </row>
    <row r="134" s="42" customFormat="true" ht="0.75" hidden="true" customHeight="true" outlineLevel="0" collapsed="false">
      <c r="A134" s="131"/>
      <c r="B134" s="131"/>
      <c r="C134" s="344" t="s">
        <v>1091</v>
      </c>
      <c r="D134" s="834"/>
      <c r="E134" s="299"/>
      <c r="F134" s="668"/>
      <c r="G134" s="833"/>
      <c r="H134" s="587"/>
      <c r="I134" s="167"/>
      <c r="J134" s="211"/>
      <c r="K134" s="587"/>
      <c r="L134" s="810"/>
      <c r="M134" s="815"/>
      <c r="N134" s="664"/>
      <c r="O134" s="117"/>
      <c r="P134" s="117"/>
    </row>
    <row r="135" s="42" customFormat="true" ht="18.75" hidden="true" customHeight="true" outlineLevel="0" collapsed="false">
      <c r="A135" s="131" t="s">
        <v>286</v>
      </c>
      <c r="B135" s="131" t="s">
        <v>287</v>
      </c>
      <c r="C135" s="344"/>
      <c r="D135" s="834"/>
      <c r="E135" s="299"/>
      <c r="F135" s="668" t="str">
        <f aca="false">INDEX(PT_DIFFERENTIATION_VTAR,MATCH(A135,PT_DIFFERENTIATION_VTAR_ID,0))</f>
        <v>Тариф на транспортировку сточных вод</v>
      </c>
      <c r="G135" s="757" t="str">
        <f aca="false">INDEX(PT_DIFFERENTIATION_NTAR,MATCH(B135,PT_DIFFERENTIATION_NTAR_ID,0))</f>
        <v/>
      </c>
      <c r="H135" s="361"/>
      <c r="I135" s="822"/>
      <c r="J135" s="823"/>
      <c r="K135" s="374"/>
      <c r="L135" s="361" t="s">
        <v>322</v>
      </c>
      <c r="M135" s="815"/>
      <c r="N135" s="664"/>
      <c r="O135" s="117"/>
      <c r="P135" s="117"/>
    </row>
    <row r="136" s="42" customFormat="true" ht="18.75" hidden="true" customHeight="true" outlineLevel="0" collapsed="false">
      <c r="A136" s="131"/>
      <c r="B136" s="131"/>
      <c r="C136" s="344" t="s">
        <v>1084</v>
      </c>
      <c r="D136" s="834"/>
      <c r="E136" s="299"/>
      <c r="F136" s="668"/>
      <c r="G136" s="757"/>
      <c r="H136" s="587"/>
      <c r="I136" s="167" t="s">
        <v>1083</v>
      </c>
      <c r="J136" s="211"/>
      <c r="K136" s="587"/>
      <c r="L136" s="810"/>
      <c r="M136" s="815"/>
      <c r="N136" s="664"/>
      <c r="O136" s="117"/>
      <c r="P136" s="117"/>
    </row>
    <row r="137" s="42" customFormat="true" ht="0.75" hidden="true" customHeight="true" outlineLevel="0" collapsed="false">
      <c r="A137" s="131"/>
      <c r="B137" s="131"/>
      <c r="C137" s="344" t="s">
        <v>1091</v>
      </c>
      <c r="D137" s="834"/>
      <c r="E137" s="299"/>
      <c r="F137" s="668"/>
      <c r="G137" s="833"/>
      <c r="H137" s="587"/>
      <c r="I137" s="167"/>
      <c r="J137" s="211"/>
      <c r="K137" s="587"/>
      <c r="L137" s="810"/>
      <c r="M137" s="815"/>
      <c r="N137" s="664"/>
      <c r="O137" s="117"/>
      <c r="P137" s="117"/>
    </row>
    <row r="138" s="42" customFormat="true" ht="18.75" hidden="true" customHeight="true" outlineLevel="0" collapsed="false">
      <c r="A138" s="131" t="s">
        <v>291</v>
      </c>
      <c r="B138" s="131" t="s">
        <v>292</v>
      </c>
      <c r="C138" s="344"/>
      <c r="D138" s="834"/>
      <c r="E138" s="299"/>
      <c r="F138" s="668" t="str">
        <f aca="false">INDEX(PT_DIFFERENTIATION_VTAR,MATCH(A138,PT_DIFFERENTIATION_VTAR_ID,0))</f>
        <v>Тариф на подключение (технологическое присоединение) к централизованной системе водоотведения</v>
      </c>
      <c r="G138" s="757" t="str">
        <f aca="false">INDEX(PT_DIFFERENTIATION_NTAR,MATCH(B138,PT_DIFFERENTIATION_NTAR_ID,0))</f>
        <v/>
      </c>
      <c r="H138" s="361"/>
      <c r="I138" s="822"/>
      <c r="J138" s="823"/>
      <c r="K138" s="374"/>
      <c r="L138" s="361" t="s">
        <v>322</v>
      </c>
      <c r="M138" s="815"/>
      <c r="N138" s="664"/>
      <c r="O138" s="117"/>
      <c r="P138" s="117"/>
    </row>
    <row r="139" s="42" customFormat="true" ht="18.75" hidden="true" customHeight="true" outlineLevel="0" collapsed="false">
      <c r="A139" s="131"/>
      <c r="B139" s="131"/>
      <c r="C139" s="344" t="s">
        <v>1084</v>
      </c>
      <c r="D139" s="834"/>
      <c r="E139" s="299"/>
      <c r="F139" s="668"/>
      <c r="G139" s="757"/>
      <c r="H139" s="587"/>
      <c r="I139" s="167" t="s">
        <v>1083</v>
      </c>
      <c r="J139" s="211"/>
      <c r="K139" s="587"/>
      <c r="L139" s="810"/>
      <c r="M139" s="815"/>
      <c r="N139" s="664"/>
      <c r="O139" s="117"/>
      <c r="P139" s="117"/>
    </row>
    <row r="140" s="42" customFormat="true" ht="0.75" hidden="false" customHeight="true" outlineLevel="0" collapsed="false">
      <c r="A140" s="131"/>
      <c r="B140" s="131"/>
      <c r="C140" s="344" t="s">
        <v>1091</v>
      </c>
      <c r="D140" s="834"/>
      <c r="E140" s="299"/>
      <c r="F140" s="668"/>
      <c r="G140" s="833"/>
      <c r="H140" s="587"/>
      <c r="I140" s="167"/>
      <c r="J140" s="211"/>
      <c r="K140" s="587"/>
      <c r="L140" s="810"/>
      <c r="M140" s="815"/>
      <c r="N140" s="664"/>
      <c r="O140" s="117"/>
      <c r="P140" s="117"/>
    </row>
    <row r="141" customFormat="false" ht="18.75" hidden="false" customHeight="true" outlineLevel="0" collapsed="false">
      <c r="A141" s="131"/>
      <c r="B141" s="131"/>
      <c r="D141" s="467"/>
      <c r="E141" s="299" t="s">
        <v>87</v>
      </c>
      <c r="F141" s="821"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821"/>
      <c r="H141" s="821"/>
      <c r="I141" s="821"/>
      <c r="J141" s="821"/>
      <c r="K141" s="821"/>
      <c r="L141" s="821"/>
      <c r="M141" s="800"/>
      <c r="N141" s="664"/>
    </row>
    <row r="142" s="42" customFormat="true" ht="60.75" hidden="true" customHeight="true" outlineLevel="0" collapsed="false">
      <c r="A142" s="131" t="s">
        <v>162</v>
      </c>
      <c r="B142" s="131" t="s">
        <v>163</v>
      </c>
      <c r="C142" s="344"/>
      <c r="D142" s="834"/>
      <c r="E142" s="299"/>
      <c r="F142" s="668" t="str">
        <f aca="false">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757" t="str">
        <f aca="false">INDEX(PT_DIFFERENTIATION_NTAR,MATCH(B142,PT_DIFFERENTIATION_NTAR_ID,0))</f>
        <v/>
      </c>
      <c r="H142" s="361"/>
      <c r="I142" s="822"/>
      <c r="J142" s="823"/>
      <c r="K142" s="374"/>
      <c r="L142" s="361" t="s">
        <v>322</v>
      </c>
      <c r="M142" s="798"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664"/>
      <c r="O142" s="117"/>
      <c r="P142" s="117"/>
    </row>
    <row r="143" s="42" customFormat="true" ht="18.75" hidden="true" customHeight="true" outlineLevel="0" collapsed="false">
      <c r="A143" s="131"/>
      <c r="B143" s="131"/>
      <c r="C143" s="344" t="s">
        <v>1084</v>
      </c>
      <c r="D143" s="834"/>
      <c r="E143" s="299"/>
      <c r="F143" s="668"/>
      <c r="G143" s="757"/>
      <c r="H143" s="587"/>
      <c r="I143" s="167" t="s">
        <v>1083</v>
      </c>
      <c r="J143" s="211"/>
      <c r="K143" s="587"/>
      <c r="L143" s="810"/>
      <c r="M143" s="798"/>
      <c r="N143" s="664"/>
      <c r="O143" s="117"/>
      <c r="P143" s="117"/>
    </row>
    <row r="144" s="42" customFormat="true" ht="0.75" hidden="true" customHeight="true" outlineLevel="0" collapsed="false">
      <c r="A144" s="131"/>
      <c r="B144" s="131"/>
      <c r="C144" s="344" t="s">
        <v>1091</v>
      </c>
      <c r="D144" s="834"/>
      <c r="E144" s="299"/>
      <c r="F144" s="668"/>
      <c r="G144" s="833"/>
      <c r="H144" s="587"/>
      <c r="I144" s="167"/>
      <c r="J144" s="211"/>
      <c r="K144" s="587"/>
      <c r="L144" s="810"/>
      <c r="M144" s="798"/>
      <c r="N144" s="664"/>
      <c r="O144" s="117"/>
      <c r="P144" s="117"/>
    </row>
    <row r="145" s="42" customFormat="true" ht="45" hidden="true" customHeight="true" outlineLevel="0" collapsed="false">
      <c r="A145" s="131" t="s">
        <v>168</v>
      </c>
      <c r="B145" s="131" t="s">
        <v>169</v>
      </c>
      <c r="C145" s="344"/>
      <c r="D145" s="834"/>
      <c r="E145" s="299"/>
      <c r="F145" s="668" t="str">
        <f aca="false">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757" t="str">
        <f aca="false">INDEX(PT_DIFFERENTIATION_NTAR,MATCH(B145,PT_DIFFERENTIATION_NTAR_ID,0))</f>
        <v/>
      </c>
      <c r="H145" s="361"/>
      <c r="I145" s="822"/>
      <c r="J145" s="823"/>
      <c r="K145" s="374"/>
      <c r="L145" s="361" t="s">
        <v>322</v>
      </c>
      <c r="M145" s="798"/>
      <c r="N145" s="664"/>
      <c r="O145" s="117"/>
      <c r="P145" s="117"/>
    </row>
    <row r="146" s="42" customFormat="true" ht="18.75" hidden="true" customHeight="true" outlineLevel="0" collapsed="false">
      <c r="A146" s="131"/>
      <c r="B146" s="131"/>
      <c r="C146" s="344" t="s">
        <v>1084</v>
      </c>
      <c r="D146" s="834"/>
      <c r="E146" s="299"/>
      <c r="F146" s="668"/>
      <c r="G146" s="757"/>
      <c r="H146" s="587"/>
      <c r="I146" s="167" t="s">
        <v>1083</v>
      </c>
      <c r="J146" s="211"/>
      <c r="K146" s="587"/>
      <c r="L146" s="810"/>
      <c r="M146" s="838"/>
      <c r="N146" s="664"/>
      <c r="O146" s="117"/>
      <c r="P146" s="117"/>
    </row>
    <row r="147" s="42" customFormat="true" ht="0.75" hidden="true" customHeight="true" outlineLevel="0" collapsed="false">
      <c r="A147" s="131"/>
      <c r="B147" s="131"/>
      <c r="C147" s="344" t="s">
        <v>1091</v>
      </c>
      <c r="D147" s="834"/>
      <c r="E147" s="299"/>
      <c r="F147" s="668"/>
      <c r="G147" s="833"/>
      <c r="H147" s="587"/>
      <c r="I147" s="167"/>
      <c r="J147" s="211"/>
      <c r="K147" s="587"/>
      <c r="L147" s="810"/>
      <c r="M147" s="815"/>
      <c r="N147" s="664"/>
      <c r="O147" s="117"/>
      <c r="P147" s="117"/>
    </row>
    <row r="148" s="42" customFormat="true" ht="45" hidden="true" customHeight="true" outlineLevel="0" collapsed="false">
      <c r="A148" s="131" t="s">
        <v>174</v>
      </c>
      <c r="B148" s="131" t="s">
        <v>175</v>
      </c>
      <c r="C148" s="344"/>
      <c r="D148" s="834"/>
      <c r="E148" s="299"/>
      <c r="F148" s="668" t="str">
        <f aca="false">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757" t="str">
        <f aca="false">INDEX(PT_DIFFERENTIATION_NTAR,MATCH(B148,PT_DIFFERENTIATION_NTAR_ID,0))</f>
        <v/>
      </c>
      <c r="H148" s="361"/>
      <c r="I148" s="822"/>
      <c r="J148" s="823"/>
      <c r="K148" s="374"/>
      <c r="L148" s="361" t="s">
        <v>322</v>
      </c>
      <c r="M148" s="815"/>
      <c r="N148" s="664"/>
      <c r="O148" s="117"/>
      <c r="P148" s="117"/>
    </row>
    <row r="149" s="42" customFormat="true" ht="18.75" hidden="true" customHeight="true" outlineLevel="0" collapsed="false">
      <c r="A149" s="131"/>
      <c r="B149" s="131"/>
      <c r="C149" s="344" t="s">
        <v>1084</v>
      </c>
      <c r="D149" s="834"/>
      <c r="E149" s="299"/>
      <c r="F149" s="668"/>
      <c r="G149" s="757"/>
      <c r="H149" s="587"/>
      <c r="I149" s="167" t="s">
        <v>1083</v>
      </c>
      <c r="J149" s="211"/>
      <c r="K149" s="587"/>
      <c r="L149" s="810"/>
      <c r="M149" s="815"/>
      <c r="N149" s="664"/>
      <c r="O149" s="117"/>
      <c r="P149" s="117"/>
    </row>
    <row r="150" s="42" customFormat="true" ht="0.75" hidden="true" customHeight="true" outlineLevel="0" collapsed="false">
      <c r="A150" s="131"/>
      <c r="B150" s="131"/>
      <c r="C150" s="344" t="s">
        <v>1091</v>
      </c>
      <c r="D150" s="834"/>
      <c r="E150" s="299"/>
      <c r="F150" s="668"/>
      <c r="G150" s="833"/>
      <c r="H150" s="587"/>
      <c r="I150" s="167"/>
      <c r="J150" s="211"/>
      <c r="K150" s="587"/>
      <c r="L150" s="810"/>
      <c r="M150" s="815"/>
      <c r="N150" s="664"/>
      <c r="O150" s="117"/>
      <c r="P150" s="117"/>
    </row>
    <row r="151" s="42" customFormat="true" ht="45" hidden="true" customHeight="true" outlineLevel="0" collapsed="false">
      <c r="A151" s="131" t="s">
        <v>180</v>
      </c>
      <c r="B151" s="131" t="s">
        <v>181</v>
      </c>
      <c r="C151" s="344"/>
      <c r="D151" s="834"/>
      <c r="E151" s="299"/>
      <c r="F151" s="668" t="str">
        <f aca="false">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757" t="str">
        <f aca="false">INDEX(PT_DIFFERENTIATION_NTAR,MATCH(B151,PT_DIFFERENTIATION_NTAR_ID,0))</f>
        <v/>
      </c>
      <c r="H151" s="361"/>
      <c r="I151" s="822"/>
      <c r="J151" s="823"/>
      <c r="K151" s="374"/>
      <c r="L151" s="361" t="s">
        <v>322</v>
      </c>
      <c r="M151" s="815"/>
      <c r="N151" s="664"/>
      <c r="O151" s="117"/>
      <c r="P151" s="117"/>
    </row>
    <row r="152" s="42" customFormat="true" ht="18.75" hidden="true" customHeight="true" outlineLevel="0" collapsed="false">
      <c r="A152" s="131"/>
      <c r="B152" s="131"/>
      <c r="C152" s="344" t="s">
        <v>1084</v>
      </c>
      <c r="D152" s="834"/>
      <c r="E152" s="299"/>
      <c r="F152" s="668"/>
      <c r="G152" s="757"/>
      <c r="H152" s="587"/>
      <c r="I152" s="167" t="s">
        <v>1083</v>
      </c>
      <c r="J152" s="211"/>
      <c r="K152" s="587"/>
      <c r="L152" s="810"/>
      <c r="M152" s="815"/>
      <c r="N152" s="664"/>
      <c r="O152" s="117"/>
      <c r="P152" s="117"/>
    </row>
    <row r="153" s="42" customFormat="true" ht="0.75" hidden="true" customHeight="true" outlineLevel="0" collapsed="false">
      <c r="A153" s="131"/>
      <c r="B153" s="131"/>
      <c r="C153" s="344" t="s">
        <v>1091</v>
      </c>
      <c r="D153" s="834"/>
      <c r="E153" s="299"/>
      <c r="F153" s="668"/>
      <c r="G153" s="833"/>
      <c r="H153" s="587"/>
      <c r="I153" s="167"/>
      <c r="J153" s="211"/>
      <c r="K153" s="587"/>
      <c r="L153" s="810"/>
      <c r="M153" s="815"/>
      <c r="N153" s="664"/>
      <c r="O153" s="117"/>
      <c r="P153" s="117"/>
    </row>
    <row r="154" s="42" customFormat="true" ht="18.75" hidden="true" customHeight="true" outlineLevel="0" collapsed="false">
      <c r="A154" s="131" t="s">
        <v>186</v>
      </c>
      <c r="B154" s="131" t="s">
        <v>187</v>
      </c>
      <c r="C154" s="344"/>
      <c r="D154" s="834"/>
      <c r="E154" s="299"/>
      <c r="F154" s="668" t="str">
        <f aca="false">INDEX(PT_DIFFERENTIATION_VTAR,MATCH(A154,PT_DIFFERENTIATION_VTAR_ID,0))</f>
        <v>Тарифы на услуги по передаче тепловой энергии</v>
      </c>
      <c r="G154" s="757" t="str">
        <f aca="false">INDEX(PT_DIFFERENTIATION_NTAR,MATCH(B154,PT_DIFFERENTIATION_NTAR_ID,0))</f>
        <v/>
      </c>
      <c r="H154" s="361"/>
      <c r="I154" s="822"/>
      <c r="J154" s="823"/>
      <c r="K154" s="374"/>
      <c r="L154" s="361" t="s">
        <v>322</v>
      </c>
      <c r="M154" s="815"/>
      <c r="N154" s="664"/>
      <c r="O154" s="117"/>
      <c r="P154" s="117"/>
    </row>
    <row r="155" s="42" customFormat="true" ht="18.75" hidden="true" customHeight="true" outlineLevel="0" collapsed="false">
      <c r="A155" s="131"/>
      <c r="B155" s="131"/>
      <c r="C155" s="344" t="s">
        <v>1084</v>
      </c>
      <c r="D155" s="834"/>
      <c r="E155" s="299"/>
      <c r="F155" s="668"/>
      <c r="G155" s="757"/>
      <c r="H155" s="587"/>
      <c r="I155" s="167" t="s">
        <v>1083</v>
      </c>
      <c r="J155" s="211"/>
      <c r="K155" s="587"/>
      <c r="L155" s="810"/>
      <c r="M155" s="815"/>
      <c r="N155" s="664"/>
      <c r="O155" s="117"/>
      <c r="P155" s="117"/>
    </row>
    <row r="156" s="42" customFormat="true" ht="0.75" hidden="true" customHeight="true" outlineLevel="0" collapsed="false">
      <c r="A156" s="131"/>
      <c r="B156" s="131"/>
      <c r="C156" s="344" t="s">
        <v>1091</v>
      </c>
      <c r="D156" s="834"/>
      <c r="E156" s="299"/>
      <c r="F156" s="668"/>
      <c r="G156" s="833"/>
      <c r="H156" s="587"/>
      <c r="I156" s="167"/>
      <c r="J156" s="211"/>
      <c r="K156" s="587"/>
      <c r="L156" s="810"/>
      <c r="M156" s="815"/>
      <c r="N156" s="664"/>
      <c r="O156" s="117"/>
      <c r="P156" s="117"/>
    </row>
    <row r="157" s="42" customFormat="true" ht="18.75" hidden="true" customHeight="true" outlineLevel="0" collapsed="false">
      <c r="A157" s="131" t="s">
        <v>192</v>
      </c>
      <c r="B157" s="131" t="s">
        <v>193</v>
      </c>
      <c r="C157" s="344"/>
      <c r="D157" s="834"/>
      <c r="E157" s="299"/>
      <c r="F157" s="668" t="str">
        <f aca="false">INDEX(PT_DIFFERENTIATION_VTAR,MATCH(A157,PT_DIFFERENTIATION_VTAR_ID,0))</f>
        <v>Тарифы на услуги по передаче теплоносителя</v>
      </c>
      <c r="G157" s="757" t="str">
        <f aca="false">INDEX(PT_DIFFERENTIATION_NTAR,MATCH(B157,PT_DIFFERENTIATION_NTAR_ID,0))</f>
        <v/>
      </c>
      <c r="H157" s="361"/>
      <c r="I157" s="822"/>
      <c r="J157" s="823"/>
      <c r="K157" s="374"/>
      <c r="L157" s="361" t="s">
        <v>322</v>
      </c>
      <c r="M157" s="815"/>
      <c r="N157" s="664"/>
      <c r="O157" s="117"/>
      <c r="P157" s="117"/>
    </row>
    <row r="158" s="42" customFormat="true" ht="18.75" hidden="true" customHeight="true" outlineLevel="0" collapsed="false">
      <c r="A158" s="131"/>
      <c r="B158" s="131"/>
      <c r="C158" s="344" t="s">
        <v>1084</v>
      </c>
      <c r="D158" s="834"/>
      <c r="E158" s="299"/>
      <c r="F158" s="668"/>
      <c r="G158" s="757"/>
      <c r="H158" s="587"/>
      <c r="I158" s="167" t="s">
        <v>1083</v>
      </c>
      <c r="J158" s="211"/>
      <c r="K158" s="587"/>
      <c r="L158" s="810"/>
      <c r="M158" s="815"/>
      <c r="N158" s="664"/>
      <c r="O158" s="117"/>
      <c r="P158" s="117"/>
    </row>
    <row r="159" s="42" customFormat="true" ht="0.75" hidden="true" customHeight="true" outlineLevel="0" collapsed="false">
      <c r="A159" s="131"/>
      <c r="B159" s="131"/>
      <c r="C159" s="344" t="s">
        <v>1091</v>
      </c>
      <c r="D159" s="834"/>
      <c r="E159" s="299"/>
      <c r="F159" s="668"/>
      <c r="G159" s="833"/>
      <c r="H159" s="587"/>
      <c r="I159" s="167"/>
      <c r="J159" s="211"/>
      <c r="K159" s="587"/>
      <c r="L159" s="810"/>
      <c r="M159" s="815"/>
      <c r="N159" s="664"/>
      <c r="O159" s="117"/>
      <c r="P159" s="117"/>
    </row>
    <row r="160" s="42" customFormat="true" ht="18.75" hidden="true" customHeight="true" outlineLevel="0" collapsed="false">
      <c r="A160" s="131" t="s">
        <v>198</v>
      </c>
      <c r="B160" s="131" t="s">
        <v>199</v>
      </c>
      <c r="C160" s="344"/>
      <c r="D160" s="834"/>
      <c r="E160" s="299"/>
      <c r="F160" s="668" t="str">
        <f aca="false">INDEX(PT_DIFFERENTIATION_VTAR,MATCH(A160,PT_DIFFERENTIATION_VTAR_ID,0))</f>
        <v>Плата за услуги по поддержанию резервной тепловой мощности при отсутствии потребления тепловой энергии</v>
      </c>
      <c r="G160" s="757" t="str">
        <f aca="false">INDEX(PT_DIFFERENTIATION_NTAR,MATCH(B160,PT_DIFFERENTIATION_NTAR_ID,0))</f>
        <v/>
      </c>
      <c r="H160" s="361"/>
      <c r="I160" s="822"/>
      <c r="J160" s="823"/>
      <c r="K160" s="374"/>
      <c r="L160" s="361" t="s">
        <v>322</v>
      </c>
      <c r="M160" s="815"/>
      <c r="N160" s="664"/>
      <c r="O160" s="117"/>
      <c r="P160" s="117"/>
    </row>
    <row r="161" s="42" customFormat="true" ht="18.75" hidden="true" customHeight="true" outlineLevel="0" collapsed="false">
      <c r="A161" s="131"/>
      <c r="B161" s="131"/>
      <c r="C161" s="344" t="s">
        <v>1084</v>
      </c>
      <c r="D161" s="834"/>
      <c r="E161" s="299"/>
      <c r="F161" s="668"/>
      <c r="G161" s="757"/>
      <c r="H161" s="587"/>
      <c r="I161" s="167" t="s">
        <v>1083</v>
      </c>
      <c r="J161" s="211"/>
      <c r="K161" s="587"/>
      <c r="L161" s="810"/>
      <c r="M161" s="815"/>
      <c r="N161" s="664"/>
      <c r="O161" s="117"/>
      <c r="P161" s="117"/>
    </row>
    <row r="162" s="42" customFormat="true" ht="0.75" hidden="true" customHeight="true" outlineLevel="0" collapsed="false">
      <c r="A162" s="131"/>
      <c r="B162" s="131"/>
      <c r="C162" s="344" t="s">
        <v>1091</v>
      </c>
      <c r="D162" s="834"/>
      <c r="E162" s="299"/>
      <c r="F162" s="668"/>
      <c r="G162" s="833"/>
      <c r="H162" s="587"/>
      <c r="I162" s="167"/>
      <c r="J162" s="211"/>
      <c r="K162" s="587"/>
      <c r="L162" s="810"/>
      <c r="M162" s="815"/>
      <c r="N162" s="664"/>
      <c r="O162" s="117"/>
      <c r="P162" s="117"/>
    </row>
    <row r="163" s="42" customFormat="true" ht="18.75" hidden="true" customHeight="true" outlineLevel="0" collapsed="false">
      <c r="A163" s="131" t="s">
        <v>204</v>
      </c>
      <c r="B163" s="131" t="s">
        <v>205</v>
      </c>
      <c r="C163" s="344"/>
      <c r="D163" s="834"/>
      <c r="E163" s="299"/>
      <c r="F163" s="668" t="str">
        <f aca="false">INDEX(PT_DIFFERENTIATION_VTAR,MATCH(A163,PT_DIFFERENTIATION_VTAR_ID,0))</f>
        <v>Плата за подключение (технологическое присоединение) к системе теплоснабжения</v>
      </c>
      <c r="G163" s="757" t="str">
        <f aca="false">INDEX(PT_DIFFERENTIATION_NTAR,MATCH(B163,PT_DIFFERENTIATION_NTAR_ID,0))</f>
        <v/>
      </c>
      <c r="H163" s="361"/>
      <c r="I163" s="822"/>
      <c r="J163" s="823"/>
      <c r="K163" s="374"/>
      <c r="L163" s="361" t="s">
        <v>322</v>
      </c>
      <c r="M163" s="815"/>
      <c r="N163" s="664"/>
      <c r="O163" s="117"/>
      <c r="P163" s="117"/>
    </row>
    <row r="164" s="42" customFormat="true" ht="18.75" hidden="true" customHeight="true" outlineLevel="0" collapsed="false">
      <c r="A164" s="131"/>
      <c r="B164" s="131"/>
      <c r="C164" s="344" t="s">
        <v>1084</v>
      </c>
      <c r="D164" s="834"/>
      <c r="E164" s="299"/>
      <c r="F164" s="668"/>
      <c r="G164" s="757"/>
      <c r="H164" s="587"/>
      <c r="I164" s="167" t="s">
        <v>1083</v>
      </c>
      <c r="J164" s="211"/>
      <c r="K164" s="587"/>
      <c r="L164" s="810"/>
      <c r="M164" s="815"/>
      <c r="N164" s="664"/>
      <c r="O164" s="117"/>
      <c r="P164" s="117"/>
    </row>
    <row r="165" s="42" customFormat="true" ht="0.75" hidden="true" customHeight="true" outlineLevel="0" collapsed="false">
      <c r="A165" s="131"/>
      <c r="B165" s="131"/>
      <c r="C165" s="344" t="s">
        <v>1091</v>
      </c>
      <c r="D165" s="834"/>
      <c r="E165" s="299"/>
      <c r="F165" s="668"/>
      <c r="G165" s="833"/>
      <c r="H165" s="587"/>
      <c r="I165" s="167"/>
      <c r="J165" s="211"/>
      <c r="K165" s="587"/>
      <c r="L165" s="810"/>
      <c r="M165" s="815"/>
      <c r="N165" s="664"/>
      <c r="O165" s="117"/>
      <c r="P165" s="117"/>
    </row>
    <row r="166" s="42" customFormat="true" ht="18.75" hidden="true" customHeight="true" outlineLevel="0" collapsed="false">
      <c r="A166" s="131" t="s">
        <v>230</v>
      </c>
      <c r="B166" s="131" t="s">
        <v>231</v>
      </c>
      <c r="C166" s="344"/>
      <c r="D166" s="834"/>
      <c r="E166" s="299"/>
      <c r="F166" s="668" t="str">
        <f aca="false">INDEX(PT_DIFFERENTIATION_VTAR,MATCH(A166,PT_DIFFERENTIATION_VTAR_ID,0))</f>
        <v>Тариф на питьевую воду (питьевое водоснабжение)</v>
      </c>
      <c r="G166" s="757" t="str">
        <f aca="false">INDEX(PT_DIFFERENTIATION_NTAR,MATCH(B166,PT_DIFFERENTIATION_NTAR_ID,0))</f>
        <v/>
      </c>
      <c r="H166" s="361"/>
      <c r="I166" s="822"/>
      <c r="J166" s="823"/>
      <c r="K166" s="374"/>
      <c r="L166" s="361" t="s">
        <v>322</v>
      </c>
      <c r="M166" s="815"/>
      <c r="N166" s="664"/>
      <c r="O166" s="117"/>
      <c r="P166" s="117"/>
    </row>
    <row r="167" s="42" customFormat="true" ht="18.75" hidden="true" customHeight="true" outlineLevel="0" collapsed="false">
      <c r="A167" s="131"/>
      <c r="B167" s="131"/>
      <c r="C167" s="344" t="s">
        <v>1084</v>
      </c>
      <c r="D167" s="834"/>
      <c r="E167" s="299"/>
      <c r="F167" s="668"/>
      <c r="G167" s="757"/>
      <c r="H167" s="587"/>
      <c r="I167" s="167" t="s">
        <v>1083</v>
      </c>
      <c r="J167" s="211"/>
      <c r="K167" s="587"/>
      <c r="L167" s="810"/>
      <c r="M167" s="815"/>
      <c r="N167" s="664"/>
      <c r="O167" s="117"/>
      <c r="P167" s="117"/>
    </row>
    <row r="168" s="42" customFormat="true" ht="0.75" hidden="true" customHeight="true" outlineLevel="0" collapsed="false">
      <c r="A168" s="131"/>
      <c r="B168" s="131"/>
      <c r="C168" s="344" t="s">
        <v>1091</v>
      </c>
      <c r="D168" s="834"/>
      <c r="E168" s="299"/>
      <c r="F168" s="668"/>
      <c r="G168" s="833"/>
      <c r="H168" s="587"/>
      <c r="I168" s="167"/>
      <c r="J168" s="211"/>
      <c r="K168" s="587"/>
      <c r="L168" s="810"/>
      <c r="M168" s="815"/>
      <c r="N168" s="664"/>
      <c r="O168" s="117"/>
      <c r="P168" s="117"/>
    </row>
    <row r="169" s="42" customFormat="true" ht="18.75" hidden="true" customHeight="true" outlineLevel="0" collapsed="false">
      <c r="A169" s="131" t="s">
        <v>235</v>
      </c>
      <c r="B169" s="131" t="s">
        <v>236</v>
      </c>
      <c r="C169" s="344"/>
      <c r="D169" s="834"/>
      <c r="E169" s="299"/>
      <c r="F169" s="668" t="str">
        <f aca="false">INDEX(PT_DIFFERENTIATION_VTAR,MATCH(A169,PT_DIFFERENTIATION_VTAR_ID,0))</f>
        <v>Тариф на техническую воду</v>
      </c>
      <c r="G169" s="757" t="str">
        <f aca="false">INDEX(PT_DIFFERENTIATION_NTAR,MATCH(B169,PT_DIFFERENTIATION_NTAR_ID,0))</f>
        <v/>
      </c>
      <c r="H169" s="361"/>
      <c r="I169" s="822"/>
      <c r="J169" s="823"/>
      <c r="K169" s="374"/>
      <c r="L169" s="361" t="s">
        <v>322</v>
      </c>
      <c r="M169" s="815"/>
      <c r="N169" s="664"/>
      <c r="O169" s="117"/>
      <c r="P169" s="117"/>
    </row>
    <row r="170" s="42" customFormat="true" ht="18.75" hidden="true" customHeight="true" outlineLevel="0" collapsed="false">
      <c r="A170" s="131"/>
      <c r="B170" s="131"/>
      <c r="C170" s="344" t="s">
        <v>1084</v>
      </c>
      <c r="D170" s="834"/>
      <c r="E170" s="299"/>
      <c r="F170" s="668"/>
      <c r="G170" s="757"/>
      <c r="H170" s="587"/>
      <c r="I170" s="167" t="s">
        <v>1083</v>
      </c>
      <c r="J170" s="211"/>
      <c r="K170" s="587"/>
      <c r="L170" s="810"/>
      <c r="M170" s="815"/>
      <c r="N170" s="664"/>
      <c r="O170" s="117"/>
      <c r="P170" s="117"/>
    </row>
    <row r="171" s="42" customFormat="true" ht="0.75" hidden="true" customHeight="true" outlineLevel="0" collapsed="false">
      <c r="A171" s="131"/>
      <c r="B171" s="131"/>
      <c r="C171" s="344" t="s">
        <v>1091</v>
      </c>
      <c r="D171" s="834"/>
      <c r="E171" s="299"/>
      <c r="F171" s="668"/>
      <c r="G171" s="833"/>
      <c r="H171" s="587"/>
      <c r="I171" s="167"/>
      <c r="J171" s="211"/>
      <c r="K171" s="587"/>
      <c r="L171" s="810"/>
      <c r="M171" s="815"/>
      <c r="N171" s="664"/>
      <c r="O171" s="117"/>
      <c r="P171" s="117"/>
    </row>
    <row r="172" s="42" customFormat="true" ht="18.75" hidden="true" customHeight="true" outlineLevel="0" collapsed="false">
      <c r="A172" s="131" t="s">
        <v>240</v>
      </c>
      <c r="B172" s="131" t="s">
        <v>241</v>
      </c>
      <c r="C172" s="344"/>
      <c r="D172" s="834"/>
      <c r="E172" s="299"/>
      <c r="F172" s="668" t="str">
        <f aca="false">INDEX(PT_DIFFERENTIATION_VTAR,MATCH(A172,PT_DIFFERENTIATION_VTAR_ID,0))</f>
        <v>Тариф на транспортировку воды</v>
      </c>
      <c r="G172" s="757" t="str">
        <f aca="false">INDEX(PT_DIFFERENTIATION_NTAR,MATCH(B172,PT_DIFFERENTIATION_NTAR_ID,0))</f>
        <v/>
      </c>
      <c r="H172" s="361"/>
      <c r="I172" s="822"/>
      <c r="J172" s="823"/>
      <c r="K172" s="374"/>
      <c r="L172" s="361" t="s">
        <v>322</v>
      </c>
      <c r="M172" s="815"/>
      <c r="N172" s="664"/>
      <c r="O172" s="117"/>
      <c r="P172" s="117"/>
    </row>
    <row r="173" s="42" customFormat="true" ht="18.75" hidden="true" customHeight="true" outlineLevel="0" collapsed="false">
      <c r="A173" s="131"/>
      <c r="B173" s="131"/>
      <c r="C173" s="344" t="s">
        <v>1084</v>
      </c>
      <c r="D173" s="834"/>
      <c r="E173" s="299"/>
      <c r="F173" s="668"/>
      <c r="G173" s="757"/>
      <c r="H173" s="587"/>
      <c r="I173" s="167" t="s">
        <v>1083</v>
      </c>
      <c r="J173" s="211"/>
      <c r="K173" s="587"/>
      <c r="L173" s="810"/>
      <c r="M173" s="815"/>
      <c r="N173" s="664"/>
      <c r="O173" s="117"/>
      <c r="P173" s="117"/>
    </row>
    <row r="174" s="42" customFormat="true" ht="0.75" hidden="true" customHeight="true" outlineLevel="0" collapsed="false">
      <c r="A174" s="131"/>
      <c r="B174" s="131"/>
      <c r="C174" s="344" t="s">
        <v>1091</v>
      </c>
      <c r="D174" s="834"/>
      <c r="E174" s="299"/>
      <c r="F174" s="668"/>
      <c r="G174" s="833"/>
      <c r="H174" s="587"/>
      <c r="I174" s="167"/>
      <c r="J174" s="211"/>
      <c r="K174" s="587"/>
      <c r="L174" s="810"/>
      <c r="M174" s="815"/>
      <c r="N174" s="664"/>
      <c r="O174" s="117"/>
      <c r="P174" s="117"/>
    </row>
    <row r="175" s="42" customFormat="true" ht="18.75" hidden="true" customHeight="true" outlineLevel="0" collapsed="false">
      <c r="A175" s="131" t="s">
        <v>245</v>
      </c>
      <c r="B175" s="131" t="s">
        <v>246</v>
      </c>
      <c r="C175" s="344"/>
      <c r="D175" s="834"/>
      <c r="E175" s="299"/>
      <c r="F175" s="668" t="str">
        <f aca="false">INDEX(PT_DIFFERENTIATION_VTAR,MATCH(A175,PT_DIFFERENTIATION_VTAR_ID,0))</f>
        <v>Тариф на подвоз воды</v>
      </c>
      <c r="G175" s="757" t="str">
        <f aca="false">INDEX(PT_DIFFERENTIATION_NTAR,MATCH(B175,PT_DIFFERENTIATION_NTAR_ID,0))</f>
        <v/>
      </c>
      <c r="H175" s="361"/>
      <c r="I175" s="822"/>
      <c r="J175" s="823"/>
      <c r="K175" s="374"/>
      <c r="L175" s="361" t="s">
        <v>322</v>
      </c>
      <c r="M175" s="815"/>
      <c r="N175" s="664"/>
      <c r="O175" s="117"/>
      <c r="P175" s="117"/>
    </row>
    <row r="176" s="42" customFormat="true" ht="18.75" hidden="true" customHeight="true" outlineLevel="0" collapsed="false">
      <c r="A176" s="131"/>
      <c r="B176" s="131"/>
      <c r="C176" s="344" t="s">
        <v>1084</v>
      </c>
      <c r="D176" s="834"/>
      <c r="E176" s="299"/>
      <c r="F176" s="668"/>
      <c r="G176" s="757"/>
      <c r="H176" s="587"/>
      <c r="I176" s="167" t="s">
        <v>1083</v>
      </c>
      <c r="J176" s="211"/>
      <c r="K176" s="587"/>
      <c r="L176" s="810"/>
      <c r="M176" s="815"/>
      <c r="N176" s="664"/>
      <c r="O176" s="117"/>
      <c r="P176" s="117"/>
    </row>
    <row r="177" s="42" customFormat="true" ht="0.75" hidden="true" customHeight="true" outlineLevel="0" collapsed="false">
      <c r="A177" s="131"/>
      <c r="B177" s="131"/>
      <c r="C177" s="344" t="s">
        <v>1091</v>
      </c>
      <c r="D177" s="834"/>
      <c r="E177" s="299"/>
      <c r="F177" s="668"/>
      <c r="G177" s="833"/>
      <c r="H177" s="587"/>
      <c r="I177" s="167"/>
      <c r="J177" s="211"/>
      <c r="K177" s="587"/>
      <c r="L177" s="810"/>
      <c r="M177" s="815"/>
      <c r="N177" s="664"/>
      <c r="O177" s="117"/>
      <c r="P177" s="117"/>
    </row>
    <row r="178" s="42" customFormat="true" ht="18.75" hidden="true" customHeight="true" outlineLevel="0" collapsed="false">
      <c r="A178" s="131" t="s">
        <v>250</v>
      </c>
      <c r="B178" s="131" t="s">
        <v>251</v>
      </c>
      <c r="C178" s="344"/>
      <c r="D178" s="834"/>
      <c r="E178" s="299"/>
      <c r="F178" s="668" t="str">
        <f aca="false">INDEX(PT_DIFFERENTIATION_VTAR,MATCH(A178,PT_DIFFERENTIATION_VTAR_ID,0))</f>
        <v>Тариф на подключение (технологическое присоединение) к централизованной системе холодного водоснабжения</v>
      </c>
      <c r="G178" s="757" t="str">
        <f aca="false">INDEX(PT_DIFFERENTIATION_NTAR,MATCH(B178,PT_DIFFERENTIATION_NTAR_ID,0))</f>
        <v/>
      </c>
      <c r="H178" s="361"/>
      <c r="I178" s="822"/>
      <c r="J178" s="823"/>
      <c r="K178" s="374"/>
      <c r="L178" s="361" t="s">
        <v>322</v>
      </c>
      <c r="M178" s="815"/>
      <c r="N178" s="664"/>
      <c r="O178" s="117"/>
      <c r="P178" s="117"/>
    </row>
    <row r="179" s="42" customFormat="true" ht="18.75" hidden="true" customHeight="true" outlineLevel="0" collapsed="false">
      <c r="A179" s="131"/>
      <c r="B179" s="131"/>
      <c r="C179" s="344" t="s">
        <v>1084</v>
      </c>
      <c r="D179" s="834"/>
      <c r="E179" s="299"/>
      <c r="F179" s="668"/>
      <c r="G179" s="757"/>
      <c r="H179" s="587"/>
      <c r="I179" s="167" t="s">
        <v>1083</v>
      </c>
      <c r="J179" s="211"/>
      <c r="K179" s="587"/>
      <c r="L179" s="810"/>
      <c r="M179" s="815"/>
      <c r="N179" s="664"/>
      <c r="O179" s="117"/>
      <c r="P179" s="117"/>
    </row>
    <row r="180" s="42" customFormat="true" ht="0.75" hidden="true" customHeight="true" outlineLevel="0" collapsed="false">
      <c r="A180" s="131"/>
      <c r="B180" s="131"/>
      <c r="C180" s="344" t="s">
        <v>1091</v>
      </c>
      <c r="D180" s="834"/>
      <c r="E180" s="299"/>
      <c r="F180" s="668"/>
      <c r="G180" s="833"/>
      <c r="H180" s="587"/>
      <c r="I180" s="167"/>
      <c r="J180" s="211"/>
      <c r="K180" s="587"/>
      <c r="L180" s="810"/>
      <c r="M180" s="815"/>
      <c r="N180" s="664"/>
      <c r="O180" s="117"/>
      <c r="P180" s="117"/>
    </row>
    <row r="181" s="42" customFormat="true" ht="18.75" hidden="true" customHeight="true" outlineLevel="0" collapsed="false">
      <c r="A181" s="131" t="s">
        <v>257</v>
      </c>
      <c r="B181" s="131" t="s">
        <v>258</v>
      </c>
      <c r="C181" s="344"/>
      <c r="D181" s="834"/>
      <c r="E181" s="299"/>
      <c r="F181" s="668" t="str">
        <f aca="false">INDEX(PT_DIFFERENTIATION_VTAR,MATCH(A181,PT_DIFFERENTIATION_VTAR_ID,0))</f>
        <v>Тариф на горячую воду (горячее водоснабжение)</v>
      </c>
      <c r="G181" s="757" t="str">
        <f aca="false">INDEX(PT_DIFFERENTIATION_NTAR,MATCH(B181,PT_DIFFERENTIATION_NTAR_ID,0))</f>
        <v>тариф на горячую воду в закрытой системе горячего водоснабжения</v>
      </c>
      <c r="H181" s="361"/>
      <c r="I181" s="822"/>
      <c r="J181" s="823"/>
      <c r="K181" s="374"/>
      <c r="L181" s="361" t="s">
        <v>322</v>
      </c>
      <c r="M181" s="815"/>
      <c r="N181" s="664"/>
      <c r="O181" s="117"/>
      <c r="P181" s="117"/>
    </row>
    <row r="182" s="42" customFormat="true" ht="18.75" hidden="true" customHeight="true" outlineLevel="0" collapsed="false">
      <c r="A182" s="131"/>
      <c r="B182" s="131"/>
      <c r="C182" s="344" t="s">
        <v>1084</v>
      </c>
      <c r="D182" s="834"/>
      <c r="E182" s="299"/>
      <c r="F182" s="668"/>
      <c r="G182" s="757"/>
      <c r="H182" s="587"/>
      <c r="I182" s="167" t="s">
        <v>1083</v>
      </c>
      <c r="J182" s="211"/>
      <c r="K182" s="587"/>
      <c r="L182" s="810"/>
      <c r="M182" s="815"/>
      <c r="N182" s="664"/>
      <c r="O182" s="117"/>
      <c r="P182" s="117"/>
    </row>
    <row r="183" s="42" customFormat="true" ht="0.75" hidden="true" customHeight="true" outlineLevel="0" collapsed="false">
      <c r="A183" s="131"/>
      <c r="B183" s="131"/>
      <c r="C183" s="344" t="s">
        <v>1091</v>
      </c>
      <c r="D183" s="834"/>
      <c r="E183" s="299"/>
      <c r="F183" s="668"/>
      <c r="G183" s="833"/>
      <c r="H183" s="587"/>
      <c r="I183" s="167"/>
      <c r="J183" s="211"/>
      <c r="K183" s="587"/>
      <c r="L183" s="810"/>
      <c r="M183" s="815"/>
      <c r="N183" s="664"/>
      <c r="O183" s="117"/>
      <c r="P183" s="117"/>
    </row>
    <row r="184" s="42" customFormat="true" ht="18.75" hidden="true" customHeight="true" outlineLevel="0" collapsed="false">
      <c r="A184" s="131" t="s">
        <v>271</v>
      </c>
      <c r="B184" s="131" t="s">
        <v>272</v>
      </c>
      <c r="C184" s="344"/>
      <c r="D184" s="834"/>
      <c r="E184" s="299"/>
      <c r="F184" s="668" t="str">
        <f aca="false">INDEX(PT_DIFFERENTIATION_VTAR,MATCH(A184,PT_DIFFERENTIATION_VTAR_ID,0))</f>
        <v>Тариф на транспортировку горячей воды</v>
      </c>
      <c r="G184" s="757" t="str">
        <f aca="false">INDEX(PT_DIFFERENTIATION_NTAR,MATCH(B184,PT_DIFFERENTIATION_NTAR_ID,0))</f>
        <v/>
      </c>
      <c r="H184" s="361"/>
      <c r="I184" s="822"/>
      <c r="J184" s="823"/>
      <c r="K184" s="374"/>
      <c r="L184" s="361" t="s">
        <v>322</v>
      </c>
      <c r="M184" s="815"/>
      <c r="N184" s="664"/>
      <c r="O184" s="117"/>
      <c r="P184" s="117"/>
    </row>
    <row r="185" s="42" customFormat="true" ht="18.75" hidden="true" customHeight="true" outlineLevel="0" collapsed="false">
      <c r="A185" s="131"/>
      <c r="B185" s="131"/>
      <c r="C185" s="344" t="s">
        <v>1084</v>
      </c>
      <c r="D185" s="834"/>
      <c r="E185" s="299"/>
      <c r="F185" s="668"/>
      <c r="G185" s="757"/>
      <c r="H185" s="587"/>
      <c r="I185" s="167" t="s">
        <v>1083</v>
      </c>
      <c r="J185" s="211"/>
      <c r="K185" s="587"/>
      <c r="L185" s="810"/>
      <c r="M185" s="815"/>
      <c r="N185" s="664"/>
      <c r="O185" s="117"/>
      <c r="P185" s="117"/>
    </row>
    <row r="186" s="42" customFormat="true" ht="0.75" hidden="true" customHeight="true" outlineLevel="0" collapsed="false">
      <c r="A186" s="131"/>
      <c r="B186" s="131"/>
      <c r="C186" s="344" t="s">
        <v>1091</v>
      </c>
      <c r="D186" s="834"/>
      <c r="E186" s="299"/>
      <c r="F186" s="668"/>
      <c r="G186" s="833"/>
      <c r="H186" s="587"/>
      <c r="I186" s="167"/>
      <c r="J186" s="211"/>
      <c r="K186" s="587"/>
      <c r="L186" s="810"/>
      <c r="M186" s="815"/>
      <c r="N186" s="664"/>
      <c r="O186" s="117"/>
      <c r="P186" s="117"/>
    </row>
    <row r="187" s="42" customFormat="true" ht="18.75" hidden="true" customHeight="true" outlineLevel="0" collapsed="false">
      <c r="A187" s="131" t="s">
        <v>276</v>
      </c>
      <c r="B187" s="131" t="s">
        <v>277</v>
      </c>
      <c r="C187" s="344"/>
      <c r="D187" s="834"/>
      <c r="E187" s="299"/>
      <c r="F187" s="668" t="str">
        <f aca="false">INDEX(PT_DIFFERENTIATION_VTAR,MATCH(A187,PT_DIFFERENTIATION_VTAR_ID,0))</f>
        <v>Тариф на подключение (технологическое присоединение) к централизованной системе горячего водоснабжения</v>
      </c>
      <c r="G187" s="757" t="str">
        <f aca="false">INDEX(PT_DIFFERENTIATION_NTAR,MATCH(B187,PT_DIFFERENTIATION_NTAR_ID,0))</f>
        <v/>
      </c>
      <c r="H187" s="361"/>
      <c r="I187" s="822"/>
      <c r="J187" s="823"/>
      <c r="K187" s="374"/>
      <c r="L187" s="361" t="s">
        <v>322</v>
      </c>
      <c r="M187" s="815"/>
      <c r="N187" s="664"/>
      <c r="O187" s="117"/>
      <c r="P187" s="117"/>
    </row>
    <row r="188" s="42" customFormat="true" ht="18.75" hidden="true" customHeight="true" outlineLevel="0" collapsed="false">
      <c r="A188" s="131"/>
      <c r="B188" s="131"/>
      <c r="C188" s="344" t="s">
        <v>1084</v>
      </c>
      <c r="D188" s="834"/>
      <c r="E188" s="299"/>
      <c r="F188" s="668"/>
      <c r="G188" s="757"/>
      <c r="H188" s="587"/>
      <c r="I188" s="167" t="s">
        <v>1083</v>
      </c>
      <c r="J188" s="211"/>
      <c r="K188" s="587"/>
      <c r="L188" s="810"/>
      <c r="M188" s="815"/>
      <c r="N188" s="664"/>
      <c r="O188" s="117"/>
      <c r="P188" s="117"/>
    </row>
    <row r="189" s="42" customFormat="true" ht="0.75" hidden="true" customHeight="true" outlineLevel="0" collapsed="false">
      <c r="A189" s="131"/>
      <c r="B189" s="131"/>
      <c r="C189" s="344" t="s">
        <v>1091</v>
      </c>
      <c r="D189" s="834"/>
      <c r="E189" s="299"/>
      <c r="F189" s="668"/>
      <c r="G189" s="833"/>
      <c r="H189" s="587"/>
      <c r="I189" s="167"/>
      <c r="J189" s="211"/>
      <c r="K189" s="587"/>
      <c r="L189" s="810"/>
      <c r="M189" s="815"/>
      <c r="N189" s="664"/>
      <c r="O189" s="117"/>
      <c r="P189" s="117"/>
    </row>
    <row r="190" s="42" customFormat="true" ht="18.75" hidden="true" customHeight="true" outlineLevel="0" collapsed="false">
      <c r="A190" s="131" t="s">
        <v>281</v>
      </c>
      <c r="B190" s="131" t="s">
        <v>282</v>
      </c>
      <c r="C190" s="344"/>
      <c r="D190" s="834"/>
      <c r="E190" s="299"/>
      <c r="F190" s="668" t="str">
        <f aca="false">INDEX(PT_DIFFERENTIATION_VTAR,MATCH(A190,PT_DIFFERENTIATION_VTAR_ID,0))</f>
        <v>Тариф на водоотведение</v>
      </c>
      <c r="G190" s="757" t="str">
        <f aca="false">INDEX(PT_DIFFERENTIATION_NTAR,MATCH(B190,PT_DIFFERENTIATION_NTAR_ID,0))</f>
        <v/>
      </c>
      <c r="H190" s="361"/>
      <c r="I190" s="822"/>
      <c r="J190" s="823"/>
      <c r="K190" s="374"/>
      <c r="L190" s="361" t="s">
        <v>322</v>
      </c>
      <c r="M190" s="815"/>
      <c r="N190" s="664"/>
      <c r="O190" s="117"/>
      <c r="P190" s="117"/>
    </row>
    <row r="191" s="42" customFormat="true" ht="18.75" hidden="true" customHeight="true" outlineLevel="0" collapsed="false">
      <c r="A191" s="131"/>
      <c r="B191" s="131"/>
      <c r="C191" s="344" t="s">
        <v>1084</v>
      </c>
      <c r="D191" s="834"/>
      <c r="E191" s="299"/>
      <c r="F191" s="668"/>
      <c r="G191" s="757"/>
      <c r="H191" s="587"/>
      <c r="I191" s="167" t="s">
        <v>1083</v>
      </c>
      <c r="J191" s="211"/>
      <c r="K191" s="587"/>
      <c r="L191" s="810"/>
      <c r="M191" s="815"/>
      <c r="N191" s="664"/>
      <c r="O191" s="117"/>
      <c r="P191" s="117"/>
    </row>
    <row r="192" s="42" customFormat="true" ht="0.75" hidden="true" customHeight="true" outlineLevel="0" collapsed="false">
      <c r="A192" s="131"/>
      <c r="B192" s="131"/>
      <c r="C192" s="344" t="s">
        <v>1091</v>
      </c>
      <c r="D192" s="834"/>
      <c r="E192" s="299"/>
      <c r="F192" s="668"/>
      <c r="G192" s="833"/>
      <c r="H192" s="587"/>
      <c r="I192" s="167"/>
      <c r="J192" s="211"/>
      <c r="K192" s="587"/>
      <c r="L192" s="810"/>
      <c r="M192" s="815"/>
      <c r="N192" s="664"/>
      <c r="O192" s="117"/>
      <c r="P192" s="117"/>
    </row>
    <row r="193" s="42" customFormat="true" ht="18.75" hidden="true" customHeight="true" outlineLevel="0" collapsed="false">
      <c r="A193" s="131" t="s">
        <v>286</v>
      </c>
      <c r="B193" s="131" t="s">
        <v>287</v>
      </c>
      <c r="C193" s="344"/>
      <c r="D193" s="834"/>
      <c r="E193" s="299"/>
      <c r="F193" s="668" t="str">
        <f aca="false">INDEX(PT_DIFFERENTIATION_VTAR,MATCH(A193,PT_DIFFERENTIATION_VTAR_ID,0))</f>
        <v>Тариф на транспортировку сточных вод</v>
      </c>
      <c r="G193" s="757" t="str">
        <f aca="false">INDEX(PT_DIFFERENTIATION_NTAR,MATCH(B193,PT_DIFFERENTIATION_NTAR_ID,0))</f>
        <v/>
      </c>
      <c r="H193" s="361"/>
      <c r="I193" s="822"/>
      <c r="J193" s="823"/>
      <c r="K193" s="374"/>
      <c r="L193" s="361" t="s">
        <v>322</v>
      </c>
      <c r="M193" s="815"/>
      <c r="N193" s="664"/>
      <c r="O193" s="117"/>
      <c r="P193" s="117"/>
    </row>
    <row r="194" s="42" customFormat="true" ht="18.75" hidden="true" customHeight="true" outlineLevel="0" collapsed="false">
      <c r="A194" s="131"/>
      <c r="B194" s="131"/>
      <c r="C194" s="344" t="s">
        <v>1084</v>
      </c>
      <c r="D194" s="834"/>
      <c r="E194" s="299"/>
      <c r="F194" s="668"/>
      <c r="G194" s="757"/>
      <c r="H194" s="587"/>
      <c r="I194" s="167" t="s">
        <v>1083</v>
      </c>
      <c r="J194" s="211"/>
      <c r="K194" s="587"/>
      <c r="L194" s="810"/>
      <c r="M194" s="815"/>
      <c r="N194" s="664"/>
      <c r="O194" s="117"/>
      <c r="P194" s="117"/>
    </row>
    <row r="195" s="42" customFormat="true" ht="0.75" hidden="true" customHeight="true" outlineLevel="0" collapsed="false">
      <c r="A195" s="131"/>
      <c r="B195" s="131"/>
      <c r="C195" s="344" t="s">
        <v>1091</v>
      </c>
      <c r="D195" s="834"/>
      <c r="E195" s="299"/>
      <c r="F195" s="668"/>
      <c r="G195" s="833"/>
      <c r="H195" s="587"/>
      <c r="I195" s="167"/>
      <c r="J195" s="211"/>
      <c r="K195" s="587"/>
      <c r="L195" s="810"/>
      <c r="M195" s="815"/>
      <c r="N195" s="664"/>
      <c r="O195" s="117"/>
      <c r="P195" s="117"/>
    </row>
    <row r="196" s="42" customFormat="true" ht="18.75" hidden="true" customHeight="true" outlineLevel="0" collapsed="false">
      <c r="A196" s="131" t="s">
        <v>291</v>
      </c>
      <c r="B196" s="131" t="s">
        <v>292</v>
      </c>
      <c r="C196" s="344"/>
      <c r="D196" s="834"/>
      <c r="E196" s="299"/>
      <c r="F196" s="668" t="str">
        <f aca="false">INDEX(PT_DIFFERENTIATION_VTAR,MATCH(A196,PT_DIFFERENTIATION_VTAR_ID,0))</f>
        <v>Тариф на подключение (технологическое присоединение) к централизованной системе водоотведения</v>
      </c>
      <c r="G196" s="757" t="str">
        <f aca="false">INDEX(PT_DIFFERENTIATION_NTAR,MATCH(B196,PT_DIFFERENTIATION_NTAR_ID,0))</f>
        <v/>
      </c>
      <c r="H196" s="361"/>
      <c r="I196" s="822"/>
      <c r="J196" s="823"/>
      <c r="K196" s="374"/>
      <c r="L196" s="361" t="s">
        <v>322</v>
      </c>
      <c r="M196" s="815"/>
      <c r="N196" s="664"/>
      <c r="O196" s="117"/>
      <c r="P196" s="117"/>
    </row>
    <row r="197" s="42" customFormat="true" ht="18.75" hidden="true" customHeight="true" outlineLevel="0" collapsed="false">
      <c r="A197" s="131"/>
      <c r="B197" s="131"/>
      <c r="C197" s="344" t="s">
        <v>1084</v>
      </c>
      <c r="D197" s="834"/>
      <c r="E197" s="299"/>
      <c r="F197" s="668"/>
      <c r="G197" s="757"/>
      <c r="H197" s="587"/>
      <c r="I197" s="167" t="s">
        <v>1083</v>
      </c>
      <c r="J197" s="211"/>
      <c r="K197" s="587"/>
      <c r="L197" s="810"/>
      <c r="M197" s="815"/>
      <c r="N197" s="664"/>
      <c r="O197" s="117"/>
      <c r="P197" s="117"/>
    </row>
    <row r="198" s="42" customFormat="true" ht="0.75" hidden="false" customHeight="true" outlineLevel="0" collapsed="false">
      <c r="A198" s="131"/>
      <c r="B198" s="131"/>
      <c r="C198" s="344" t="s">
        <v>1091</v>
      </c>
      <c r="D198" s="834"/>
      <c r="E198" s="299"/>
      <c r="F198" s="668"/>
      <c r="G198" s="833"/>
      <c r="H198" s="587"/>
      <c r="I198" s="167"/>
      <c r="J198" s="211"/>
      <c r="K198" s="587"/>
      <c r="L198" s="810"/>
      <c r="M198" s="815"/>
      <c r="N198" s="664"/>
      <c r="O198" s="117"/>
      <c r="P198" s="117"/>
    </row>
    <row r="199" customFormat="false" ht="26.25" hidden="false" customHeight="true" outlineLevel="0" collapsed="false">
      <c r="A199" s="131"/>
      <c r="B199" s="131"/>
      <c r="D199" s="467"/>
      <c r="E199" s="299" t="s">
        <v>118</v>
      </c>
      <c r="F199" s="821"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821"/>
      <c r="H199" s="821"/>
      <c r="I199" s="821"/>
      <c r="J199" s="821"/>
      <c r="K199" s="821"/>
      <c r="L199" s="821"/>
      <c r="M199" s="800"/>
      <c r="N199" s="664"/>
    </row>
    <row r="200" s="42" customFormat="true" ht="60.75" hidden="true" customHeight="true" outlineLevel="0" collapsed="false">
      <c r="A200" s="131" t="s">
        <v>162</v>
      </c>
      <c r="B200" s="131" t="s">
        <v>163</v>
      </c>
      <c r="C200" s="344"/>
      <c r="D200" s="834"/>
      <c r="E200" s="299"/>
      <c r="F200" s="668" t="str">
        <f aca="false">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757" t="str">
        <f aca="false">INDEX(PT_DIFFERENTIATION_NTAR,MATCH(B200,PT_DIFFERENTIATION_NTAR_ID,0))</f>
        <v/>
      </c>
      <c r="H200" s="361"/>
      <c r="I200" s="822"/>
      <c r="J200" s="823"/>
      <c r="K200" s="374"/>
      <c r="L200" s="361" t="s">
        <v>322</v>
      </c>
      <c r="M200" s="798"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664"/>
      <c r="O200" s="117"/>
      <c r="P200" s="117"/>
    </row>
    <row r="201" s="42" customFormat="true" ht="18.75" hidden="true" customHeight="true" outlineLevel="0" collapsed="false">
      <c r="A201" s="131"/>
      <c r="B201" s="131"/>
      <c r="C201" s="344" t="s">
        <v>1084</v>
      </c>
      <c r="D201" s="834"/>
      <c r="E201" s="299"/>
      <c r="F201" s="668"/>
      <c r="G201" s="757"/>
      <c r="H201" s="587"/>
      <c r="I201" s="167" t="s">
        <v>1083</v>
      </c>
      <c r="J201" s="211"/>
      <c r="K201" s="587"/>
      <c r="L201" s="810"/>
      <c r="M201" s="798"/>
      <c r="N201" s="664"/>
      <c r="O201" s="117"/>
      <c r="P201" s="117"/>
    </row>
    <row r="202" s="42" customFormat="true" ht="0.75" hidden="true" customHeight="true" outlineLevel="0" collapsed="false">
      <c r="A202" s="131"/>
      <c r="B202" s="131"/>
      <c r="C202" s="344" t="s">
        <v>1091</v>
      </c>
      <c r="D202" s="834"/>
      <c r="E202" s="299"/>
      <c r="F202" s="668"/>
      <c r="G202" s="833"/>
      <c r="H202" s="587"/>
      <c r="I202" s="167"/>
      <c r="J202" s="211"/>
      <c r="K202" s="587"/>
      <c r="L202" s="810"/>
      <c r="M202" s="798"/>
      <c r="N202" s="664"/>
      <c r="O202" s="117"/>
      <c r="P202" s="117"/>
    </row>
    <row r="203" s="42" customFormat="true" ht="45" hidden="true" customHeight="true" outlineLevel="0" collapsed="false">
      <c r="A203" s="131" t="s">
        <v>168</v>
      </c>
      <c r="B203" s="131" t="s">
        <v>169</v>
      </c>
      <c r="C203" s="344"/>
      <c r="D203" s="834"/>
      <c r="E203" s="299"/>
      <c r="F203" s="668" t="str">
        <f aca="false">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757" t="str">
        <f aca="false">INDEX(PT_DIFFERENTIATION_NTAR,MATCH(B203,PT_DIFFERENTIATION_NTAR_ID,0))</f>
        <v/>
      </c>
      <c r="H203" s="361"/>
      <c r="I203" s="822"/>
      <c r="J203" s="823"/>
      <c r="K203" s="374"/>
      <c r="L203" s="361" t="s">
        <v>322</v>
      </c>
      <c r="M203" s="798"/>
      <c r="N203" s="664"/>
      <c r="O203" s="117"/>
      <c r="P203" s="117"/>
    </row>
    <row r="204" s="42" customFormat="true" ht="18.75" hidden="true" customHeight="true" outlineLevel="0" collapsed="false">
      <c r="A204" s="131"/>
      <c r="B204" s="131"/>
      <c r="C204" s="344" t="s">
        <v>1084</v>
      </c>
      <c r="D204" s="834"/>
      <c r="E204" s="299"/>
      <c r="F204" s="668"/>
      <c r="G204" s="757"/>
      <c r="H204" s="587"/>
      <c r="I204" s="167" t="s">
        <v>1083</v>
      </c>
      <c r="J204" s="211"/>
      <c r="K204" s="587"/>
      <c r="L204" s="810"/>
      <c r="M204" s="838"/>
      <c r="N204" s="664"/>
      <c r="O204" s="117"/>
      <c r="P204" s="117"/>
    </row>
    <row r="205" s="42" customFormat="true" ht="0.75" hidden="true" customHeight="true" outlineLevel="0" collapsed="false">
      <c r="A205" s="131"/>
      <c r="B205" s="131"/>
      <c r="C205" s="344" t="s">
        <v>1091</v>
      </c>
      <c r="D205" s="834"/>
      <c r="E205" s="299"/>
      <c r="F205" s="668"/>
      <c r="G205" s="833"/>
      <c r="H205" s="587"/>
      <c r="I205" s="167"/>
      <c r="J205" s="211"/>
      <c r="K205" s="587"/>
      <c r="L205" s="810"/>
      <c r="M205" s="815"/>
      <c r="N205" s="664"/>
      <c r="O205" s="117"/>
      <c r="P205" s="117"/>
    </row>
    <row r="206" s="42" customFormat="true" ht="45" hidden="true" customHeight="true" outlineLevel="0" collapsed="false">
      <c r="A206" s="131" t="s">
        <v>174</v>
      </c>
      <c r="B206" s="131" t="s">
        <v>175</v>
      </c>
      <c r="C206" s="344"/>
      <c r="D206" s="834"/>
      <c r="E206" s="299"/>
      <c r="F206" s="668" t="str">
        <f aca="false">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757" t="str">
        <f aca="false">INDEX(PT_DIFFERENTIATION_NTAR,MATCH(B206,PT_DIFFERENTIATION_NTAR_ID,0))</f>
        <v/>
      </c>
      <c r="H206" s="361"/>
      <c r="I206" s="822"/>
      <c r="J206" s="823"/>
      <c r="K206" s="374"/>
      <c r="L206" s="361" t="s">
        <v>322</v>
      </c>
      <c r="M206" s="815"/>
      <c r="N206" s="664"/>
      <c r="O206" s="117"/>
      <c r="P206" s="117"/>
    </row>
    <row r="207" s="42" customFormat="true" ht="18.75" hidden="true" customHeight="true" outlineLevel="0" collapsed="false">
      <c r="A207" s="131"/>
      <c r="B207" s="131"/>
      <c r="C207" s="344" t="s">
        <v>1084</v>
      </c>
      <c r="D207" s="834"/>
      <c r="E207" s="299"/>
      <c r="F207" s="668"/>
      <c r="G207" s="757"/>
      <c r="H207" s="587"/>
      <c r="I207" s="167" t="s">
        <v>1083</v>
      </c>
      <c r="J207" s="211"/>
      <c r="K207" s="587"/>
      <c r="L207" s="810"/>
      <c r="M207" s="815"/>
      <c r="N207" s="664"/>
      <c r="O207" s="117"/>
      <c r="P207" s="117"/>
    </row>
    <row r="208" s="42" customFormat="true" ht="0.75" hidden="true" customHeight="true" outlineLevel="0" collapsed="false">
      <c r="A208" s="131"/>
      <c r="B208" s="131"/>
      <c r="C208" s="344" t="s">
        <v>1091</v>
      </c>
      <c r="D208" s="834"/>
      <c r="E208" s="299"/>
      <c r="F208" s="668"/>
      <c r="G208" s="833"/>
      <c r="H208" s="587"/>
      <c r="I208" s="167"/>
      <c r="J208" s="211"/>
      <c r="K208" s="587"/>
      <c r="L208" s="810"/>
      <c r="M208" s="815"/>
      <c r="N208" s="664"/>
      <c r="O208" s="117"/>
      <c r="P208" s="117"/>
    </row>
    <row r="209" s="42" customFormat="true" ht="45" hidden="true" customHeight="true" outlineLevel="0" collapsed="false">
      <c r="A209" s="131" t="s">
        <v>180</v>
      </c>
      <c r="B209" s="131" t="s">
        <v>181</v>
      </c>
      <c r="C209" s="344"/>
      <c r="D209" s="834"/>
      <c r="E209" s="299"/>
      <c r="F209" s="668" t="str">
        <f aca="false">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757" t="str">
        <f aca="false">INDEX(PT_DIFFERENTIATION_NTAR,MATCH(B209,PT_DIFFERENTIATION_NTAR_ID,0))</f>
        <v/>
      </c>
      <c r="H209" s="361"/>
      <c r="I209" s="822"/>
      <c r="J209" s="823"/>
      <c r="K209" s="374"/>
      <c r="L209" s="361" t="s">
        <v>322</v>
      </c>
      <c r="M209" s="815"/>
      <c r="N209" s="664"/>
      <c r="O209" s="117"/>
      <c r="P209" s="117"/>
    </row>
    <row r="210" s="42" customFormat="true" ht="18.75" hidden="true" customHeight="true" outlineLevel="0" collapsed="false">
      <c r="A210" s="131"/>
      <c r="B210" s="131"/>
      <c r="C210" s="344" t="s">
        <v>1084</v>
      </c>
      <c r="D210" s="834"/>
      <c r="E210" s="299"/>
      <c r="F210" s="668"/>
      <c r="G210" s="757"/>
      <c r="H210" s="587"/>
      <c r="I210" s="167" t="s">
        <v>1083</v>
      </c>
      <c r="J210" s="211"/>
      <c r="K210" s="587"/>
      <c r="L210" s="810"/>
      <c r="M210" s="815"/>
      <c r="N210" s="664"/>
      <c r="O210" s="117"/>
      <c r="P210" s="117"/>
    </row>
    <row r="211" s="42" customFormat="true" ht="0.75" hidden="true" customHeight="true" outlineLevel="0" collapsed="false">
      <c r="A211" s="131"/>
      <c r="B211" s="131"/>
      <c r="C211" s="344" t="s">
        <v>1091</v>
      </c>
      <c r="D211" s="834"/>
      <c r="E211" s="299"/>
      <c r="F211" s="668"/>
      <c r="G211" s="833"/>
      <c r="H211" s="587"/>
      <c r="I211" s="167"/>
      <c r="J211" s="211"/>
      <c r="K211" s="587"/>
      <c r="L211" s="810"/>
      <c r="M211" s="815"/>
      <c r="N211" s="664"/>
      <c r="O211" s="117"/>
      <c r="P211" s="117"/>
    </row>
    <row r="212" s="42" customFormat="true" ht="18.75" hidden="true" customHeight="true" outlineLevel="0" collapsed="false">
      <c r="A212" s="131" t="s">
        <v>186</v>
      </c>
      <c r="B212" s="131" t="s">
        <v>187</v>
      </c>
      <c r="C212" s="344"/>
      <c r="D212" s="834"/>
      <c r="E212" s="299"/>
      <c r="F212" s="668" t="str">
        <f aca="false">INDEX(PT_DIFFERENTIATION_VTAR,MATCH(A212,PT_DIFFERENTIATION_VTAR_ID,0))</f>
        <v>Тарифы на услуги по передаче тепловой энергии</v>
      </c>
      <c r="G212" s="757" t="str">
        <f aca="false">INDEX(PT_DIFFERENTIATION_NTAR,MATCH(B212,PT_DIFFERENTIATION_NTAR_ID,0))</f>
        <v/>
      </c>
      <c r="H212" s="361"/>
      <c r="I212" s="822"/>
      <c r="J212" s="823"/>
      <c r="K212" s="374"/>
      <c r="L212" s="361" t="s">
        <v>322</v>
      </c>
      <c r="M212" s="815"/>
      <c r="N212" s="664"/>
      <c r="O212" s="117"/>
      <c r="P212" s="117"/>
    </row>
    <row r="213" s="42" customFormat="true" ht="18.75" hidden="true" customHeight="true" outlineLevel="0" collapsed="false">
      <c r="A213" s="131"/>
      <c r="B213" s="131"/>
      <c r="C213" s="344" t="s">
        <v>1084</v>
      </c>
      <c r="D213" s="834"/>
      <c r="E213" s="299"/>
      <c r="F213" s="668"/>
      <c r="G213" s="757"/>
      <c r="H213" s="587"/>
      <c r="I213" s="167" t="s">
        <v>1083</v>
      </c>
      <c r="J213" s="211"/>
      <c r="K213" s="587"/>
      <c r="L213" s="810"/>
      <c r="M213" s="815"/>
      <c r="N213" s="664"/>
      <c r="O213" s="117"/>
      <c r="P213" s="117"/>
    </row>
    <row r="214" s="42" customFormat="true" ht="0.75" hidden="true" customHeight="true" outlineLevel="0" collapsed="false">
      <c r="A214" s="131"/>
      <c r="B214" s="131"/>
      <c r="C214" s="344" t="s">
        <v>1091</v>
      </c>
      <c r="D214" s="834"/>
      <c r="E214" s="299"/>
      <c r="F214" s="668"/>
      <c r="G214" s="833"/>
      <c r="H214" s="587"/>
      <c r="I214" s="167"/>
      <c r="J214" s="211"/>
      <c r="K214" s="587"/>
      <c r="L214" s="810"/>
      <c r="M214" s="815"/>
      <c r="N214" s="664"/>
      <c r="O214" s="117"/>
      <c r="P214" s="117"/>
    </row>
    <row r="215" s="42" customFormat="true" ht="18.75" hidden="true" customHeight="true" outlineLevel="0" collapsed="false">
      <c r="A215" s="131" t="s">
        <v>192</v>
      </c>
      <c r="B215" s="131" t="s">
        <v>193</v>
      </c>
      <c r="C215" s="344"/>
      <c r="D215" s="834"/>
      <c r="E215" s="299"/>
      <c r="F215" s="668" t="str">
        <f aca="false">INDEX(PT_DIFFERENTIATION_VTAR,MATCH(A215,PT_DIFFERENTIATION_VTAR_ID,0))</f>
        <v>Тарифы на услуги по передаче теплоносителя</v>
      </c>
      <c r="G215" s="757" t="str">
        <f aca="false">INDEX(PT_DIFFERENTIATION_NTAR,MATCH(B215,PT_DIFFERENTIATION_NTAR_ID,0))</f>
        <v/>
      </c>
      <c r="H215" s="361"/>
      <c r="I215" s="822"/>
      <c r="J215" s="823"/>
      <c r="K215" s="374"/>
      <c r="L215" s="361" t="s">
        <v>322</v>
      </c>
      <c r="M215" s="815"/>
      <c r="N215" s="664"/>
      <c r="O215" s="117"/>
      <c r="P215" s="117"/>
    </row>
    <row r="216" s="42" customFormat="true" ht="18.75" hidden="true" customHeight="true" outlineLevel="0" collapsed="false">
      <c r="A216" s="131"/>
      <c r="B216" s="131"/>
      <c r="C216" s="344" t="s">
        <v>1084</v>
      </c>
      <c r="D216" s="834"/>
      <c r="E216" s="299"/>
      <c r="F216" s="668"/>
      <c r="G216" s="757"/>
      <c r="H216" s="587"/>
      <c r="I216" s="167" t="s">
        <v>1083</v>
      </c>
      <c r="J216" s="211"/>
      <c r="K216" s="587"/>
      <c r="L216" s="810"/>
      <c r="M216" s="815"/>
      <c r="N216" s="664"/>
      <c r="O216" s="117"/>
      <c r="P216" s="117"/>
    </row>
    <row r="217" s="42" customFormat="true" ht="0.75" hidden="true" customHeight="true" outlineLevel="0" collapsed="false">
      <c r="A217" s="131"/>
      <c r="B217" s="131"/>
      <c r="C217" s="344" t="s">
        <v>1091</v>
      </c>
      <c r="D217" s="834"/>
      <c r="E217" s="299"/>
      <c r="F217" s="668"/>
      <c r="G217" s="833"/>
      <c r="H217" s="587"/>
      <c r="I217" s="167"/>
      <c r="J217" s="211"/>
      <c r="K217" s="587"/>
      <c r="L217" s="810"/>
      <c r="M217" s="815"/>
      <c r="N217" s="664"/>
      <c r="O217" s="117"/>
      <c r="P217" s="117"/>
    </row>
    <row r="218" s="42" customFormat="true" ht="18.75" hidden="true" customHeight="true" outlineLevel="0" collapsed="false">
      <c r="A218" s="131" t="s">
        <v>198</v>
      </c>
      <c r="B218" s="131" t="s">
        <v>199</v>
      </c>
      <c r="C218" s="344"/>
      <c r="D218" s="834"/>
      <c r="E218" s="299"/>
      <c r="F218" s="668" t="str">
        <f aca="false">INDEX(PT_DIFFERENTIATION_VTAR,MATCH(A218,PT_DIFFERENTIATION_VTAR_ID,0))</f>
        <v>Плата за услуги по поддержанию резервной тепловой мощности при отсутствии потребления тепловой энергии</v>
      </c>
      <c r="G218" s="757" t="str">
        <f aca="false">INDEX(PT_DIFFERENTIATION_NTAR,MATCH(B218,PT_DIFFERENTIATION_NTAR_ID,0))</f>
        <v/>
      </c>
      <c r="H218" s="361"/>
      <c r="I218" s="822"/>
      <c r="J218" s="823"/>
      <c r="K218" s="374"/>
      <c r="L218" s="361" t="s">
        <v>322</v>
      </c>
      <c r="M218" s="815"/>
      <c r="N218" s="664"/>
      <c r="O218" s="117"/>
      <c r="P218" s="117"/>
    </row>
    <row r="219" s="42" customFormat="true" ht="18.75" hidden="true" customHeight="true" outlineLevel="0" collapsed="false">
      <c r="A219" s="131"/>
      <c r="B219" s="131"/>
      <c r="C219" s="344" t="s">
        <v>1084</v>
      </c>
      <c r="D219" s="834"/>
      <c r="E219" s="299"/>
      <c r="F219" s="668"/>
      <c r="G219" s="757"/>
      <c r="H219" s="587"/>
      <c r="I219" s="167" t="s">
        <v>1083</v>
      </c>
      <c r="J219" s="211"/>
      <c r="K219" s="587"/>
      <c r="L219" s="810"/>
      <c r="M219" s="815"/>
      <c r="N219" s="664"/>
      <c r="O219" s="117"/>
      <c r="P219" s="117"/>
    </row>
    <row r="220" s="42" customFormat="true" ht="0.75" hidden="true" customHeight="true" outlineLevel="0" collapsed="false">
      <c r="A220" s="131"/>
      <c r="B220" s="131"/>
      <c r="C220" s="344" t="s">
        <v>1091</v>
      </c>
      <c r="D220" s="834"/>
      <c r="E220" s="299"/>
      <c r="F220" s="668"/>
      <c r="G220" s="833"/>
      <c r="H220" s="587"/>
      <c r="I220" s="167"/>
      <c r="J220" s="211"/>
      <c r="K220" s="587"/>
      <c r="L220" s="810"/>
      <c r="M220" s="815"/>
      <c r="N220" s="664"/>
      <c r="O220" s="117"/>
      <c r="P220" s="117"/>
    </row>
    <row r="221" s="42" customFormat="true" ht="18.75" hidden="true" customHeight="true" outlineLevel="0" collapsed="false">
      <c r="A221" s="131" t="s">
        <v>204</v>
      </c>
      <c r="B221" s="131" t="s">
        <v>205</v>
      </c>
      <c r="C221" s="344"/>
      <c r="D221" s="834"/>
      <c r="E221" s="299"/>
      <c r="F221" s="668" t="str">
        <f aca="false">INDEX(PT_DIFFERENTIATION_VTAR,MATCH(A221,PT_DIFFERENTIATION_VTAR_ID,0))</f>
        <v>Плата за подключение (технологическое присоединение) к системе теплоснабжения</v>
      </c>
      <c r="G221" s="757" t="str">
        <f aca="false">INDEX(PT_DIFFERENTIATION_NTAR,MATCH(B221,PT_DIFFERENTIATION_NTAR_ID,0))</f>
        <v/>
      </c>
      <c r="H221" s="361"/>
      <c r="I221" s="822"/>
      <c r="J221" s="823"/>
      <c r="K221" s="374"/>
      <c r="L221" s="361" t="s">
        <v>322</v>
      </c>
      <c r="M221" s="815"/>
      <c r="N221" s="664"/>
      <c r="O221" s="117"/>
      <c r="P221" s="117"/>
    </row>
    <row r="222" s="42" customFormat="true" ht="18.75" hidden="true" customHeight="true" outlineLevel="0" collapsed="false">
      <c r="A222" s="131"/>
      <c r="B222" s="131"/>
      <c r="C222" s="344" t="s">
        <v>1084</v>
      </c>
      <c r="D222" s="834"/>
      <c r="E222" s="299"/>
      <c r="F222" s="668"/>
      <c r="G222" s="757"/>
      <c r="H222" s="587"/>
      <c r="I222" s="167" t="s">
        <v>1083</v>
      </c>
      <c r="J222" s="211"/>
      <c r="K222" s="587"/>
      <c r="L222" s="810"/>
      <c r="M222" s="815"/>
      <c r="N222" s="664"/>
      <c r="O222" s="117"/>
      <c r="P222" s="117"/>
    </row>
    <row r="223" s="42" customFormat="true" ht="0.75" hidden="true" customHeight="true" outlineLevel="0" collapsed="false">
      <c r="A223" s="131"/>
      <c r="B223" s="131"/>
      <c r="C223" s="344" t="s">
        <v>1091</v>
      </c>
      <c r="D223" s="834"/>
      <c r="E223" s="299"/>
      <c r="F223" s="668"/>
      <c r="G223" s="833"/>
      <c r="H223" s="587"/>
      <c r="I223" s="167"/>
      <c r="J223" s="211"/>
      <c r="K223" s="587"/>
      <c r="L223" s="810"/>
      <c r="M223" s="815"/>
      <c r="N223" s="664"/>
      <c r="O223" s="117"/>
      <c r="P223" s="117"/>
    </row>
    <row r="224" s="42" customFormat="true" ht="18.75" hidden="true" customHeight="true" outlineLevel="0" collapsed="false">
      <c r="A224" s="131" t="s">
        <v>230</v>
      </c>
      <c r="B224" s="131" t="s">
        <v>231</v>
      </c>
      <c r="C224" s="344"/>
      <c r="D224" s="834"/>
      <c r="E224" s="299"/>
      <c r="F224" s="668" t="str">
        <f aca="false">INDEX(PT_DIFFERENTIATION_VTAR,MATCH(A224,PT_DIFFERENTIATION_VTAR_ID,0))</f>
        <v>Тариф на питьевую воду (питьевое водоснабжение)</v>
      </c>
      <c r="G224" s="757" t="str">
        <f aca="false">INDEX(PT_DIFFERENTIATION_NTAR,MATCH(B224,PT_DIFFERENTIATION_NTAR_ID,0))</f>
        <v/>
      </c>
      <c r="H224" s="361"/>
      <c r="I224" s="822"/>
      <c r="J224" s="823"/>
      <c r="K224" s="374"/>
      <c r="L224" s="361" t="s">
        <v>322</v>
      </c>
      <c r="M224" s="815"/>
      <c r="N224" s="664"/>
      <c r="O224" s="117"/>
      <c r="P224" s="117"/>
    </row>
    <row r="225" s="42" customFormat="true" ht="18.75" hidden="true" customHeight="true" outlineLevel="0" collapsed="false">
      <c r="A225" s="131"/>
      <c r="B225" s="131"/>
      <c r="C225" s="344" t="s">
        <v>1084</v>
      </c>
      <c r="D225" s="834"/>
      <c r="E225" s="299"/>
      <c r="F225" s="668"/>
      <c r="G225" s="757"/>
      <c r="H225" s="587"/>
      <c r="I225" s="167" t="s">
        <v>1083</v>
      </c>
      <c r="J225" s="211"/>
      <c r="K225" s="587"/>
      <c r="L225" s="810"/>
      <c r="M225" s="815"/>
      <c r="N225" s="664"/>
      <c r="O225" s="117"/>
      <c r="P225" s="117"/>
    </row>
    <row r="226" s="42" customFormat="true" ht="0.75" hidden="true" customHeight="true" outlineLevel="0" collapsed="false">
      <c r="A226" s="131"/>
      <c r="B226" s="131"/>
      <c r="C226" s="344" t="s">
        <v>1091</v>
      </c>
      <c r="D226" s="834"/>
      <c r="E226" s="299"/>
      <c r="F226" s="668"/>
      <c r="G226" s="833"/>
      <c r="H226" s="587"/>
      <c r="I226" s="167"/>
      <c r="J226" s="211"/>
      <c r="K226" s="587"/>
      <c r="L226" s="810"/>
      <c r="M226" s="815"/>
      <c r="N226" s="664"/>
      <c r="O226" s="117"/>
      <c r="P226" s="117"/>
    </row>
    <row r="227" s="42" customFormat="true" ht="18.75" hidden="true" customHeight="true" outlineLevel="0" collapsed="false">
      <c r="A227" s="131" t="s">
        <v>235</v>
      </c>
      <c r="B227" s="131" t="s">
        <v>236</v>
      </c>
      <c r="C227" s="344"/>
      <c r="D227" s="834"/>
      <c r="E227" s="299"/>
      <c r="F227" s="668" t="str">
        <f aca="false">INDEX(PT_DIFFERENTIATION_VTAR,MATCH(A227,PT_DIFFERENTIATION_VTAR_ID,0))</f>
        <v>Тариф на техническую воду</v>
      </c>
      <c r="G227" s="757" t="str">
        <f aca="false">INDEX(PT_DIFFERENTIATION_NTAR,MATCH(B227,PT_DIFFERENTIATION_NTAR_ID,0))</f>
        <v/>
      </c>
      <c r="H227" s="361"/>
      <c r="I227" s="822"/>
      <c r="J227" s="823"/>
      <c r="K227" s="374"/>
      <c r="L227" s="361" t="s">
        <v>322</v>
      </c>
      <c r="M227" s="815"/>
      <c r="N227" s="664"/>
      <c r="O227" s="117"/>
      <c r="P227" s="117"/>
    </row>
    <row r="228" s="42" customFormat="true" ht="18.75" hidden="true" customHeight="true" outlineLevel="0" collapsed="false">
      <c r="A228" s="131"/>
      <c r="B228" s="131"/>
      <c r="C228" s="344" t="s">
        <v>1084</v>
      </c>
      <c r="D228" s="834"/>
      <c r="E228" s="299"/>
      <c r="F228" s="668"/>
      <c r="G228" s="757"/>
      <c r="H228" s="587"/>
      <c r="I228" s="167" t="s">
        <v>1083</v>
      </c>
      <c r="J228" s="211"/>
      <c r="K228" s="587"/>
      <c r="L228" s="810"/>
      <c r="M228" s="815"/>
      <c r="N228" s="664"/>
      <c r="O228" s="117"/>
      <c r="P228" s="117"/>
    </row>
    <row r="229" s="42" customFormat="true" ht="0.75" hidden="true" customHeight="true" outlineLevel="0" collapsed="false">
      <c r="A229" s="131"/>
      <c r="B229" s="131"/>
      <c r="C229" s="344" t="s">
        <v>1091</v>
      </c>
      <c r="D229" s="834"/>
      <c r="E229" s="299"/>
      <c r="F229" s="668"/>
      <c r="G229" s="833"/>
      <c r="H229" s="587"/>
      <c r="I229" s="167"/>
      <c r="J229" s="211"/>
      <c r="K229" s="587"/>
      <c r="L229" s="810"/>
      <c r="M229" s="815"/>
      <c r="N229" s="664"/>
      <c r="O229" s="117"/>
      <c r="P229" s="117"/>
    </row>
    <row r="230" s="42" customFormat="true" ht="18.75" hidden="true" customHeight="true" outlineLevel="0" collapsed="false">
      <c r="A230" s="131" t="s">
        <v>240</v>
      </c>
      <c r="B230" s="131" t="s">
        <v>241</v>
      </c>
      <c r="C230" s="344"/>
      <c r="D230" s="834"/>
      <c r="E230" s="299"/>
      <c r="F230" s="668" t="str">
        <f aca="false">INDEX(PT_DIFFERENTIATION_VTAR,MATCH(A230,PT_DIFFERENTIATION_VTAR_ID,0))</f>
        <v>Тариф на транспортировку воды</v>
      </c>
      <c r="G230" s="757" t="str">
        <f aca="false">INDEX(PT_DIFFERENTIATION_NTAR,MATCH(B230,PT_DIFFERENTIATION_NTAR_ID,0))</f>
        <v/>
      </c>
      <c r="H230" s="361"/>
      <c r="I230" s="822"/>
      <c r="J230" s="823"/>
      <c r="K230" s="374"/>
      <c r="L230" s="361" t="s">
        <v>322</v>
      </c>
      <c r="M230" s="815"/>
      <c r="N230" s="664"/>
      <c r="O230" s="117"/>
      <c r="P230" s="117"/>
    </row>
    <row r="231" s="42" customFormat="true" ht="18.75" hidden="true" customHeight="true" outlineLevel="0" collapsed="false">
      <c r="A231" s="131"/>
      <c r="B231" s="131"/>
      <c r="C231" s="344" t="s">
        <v>1084</v>
      </c>
      <c r="D231" s="834"/>
      <c r="E231" s="299"/>
      <c r="F231" s="668"/>
      <c r="G231" s="757"/>
      <c r="H231" s="587"/>
      <c r="I231" s="167" t="s">
        <v>1083</v>
      </c>
      <c r="J231" s="211"/>
      <c r="K231" s="587"/>
      <c r="L231" s="810"/>
      <c r="M231" s="815"/>
      <c r="N231" s="664"/>
      <c r="O231" s="117"/>
      <c r="P231" s="117"/>
    </row>
    <row r="232" s="42" customFormat="true" ht="0.75" hidden="true" customHeight="true" outlineLevel="0" collapsed="false">
      <c r="A232" s="131"/>
      <c r="B232" s="131"/>
      <c r="C232" s="344" t="s">
        <v>1091</v>
      </c>
      <c r="D232" s="834"/>
      <c r="E232" s="299"/>
      <c r="F232" s="668"/>
      <c r="G232" s="833"/>
      <c r="H232" s="587"/>
      <c r="I232" s="167"/>
      <c r="J232" s="211"/>
      <c r="K232" s="587"/>
      <c r="L232" s="810"/>
      <c r="M232" s="815"/>
      <c r="N232" s="664"/>
      <c r="O232" s="117"/>
      <c r="P232" s="117"/>
    </row>
    <row r="233" s="42" customFormat="true" ht="18.75" hidden="true" customHeight="true" outlineLevel="0" collapsed="false">
      <c r="A233" s="131" t="s">
        <v>245</v>
      </c>
      <c r="B233" s="131" t="s">
        <v>246</v>
      </c>
      <c r="C233" s="344"/>
      <c r="D233" s="834"/>
      <c r="E233" s="299"/>
      <c r="F233" s="668" t="str">
        <f aca="false">INDEX(PT_DIFFERENTIATION_VTAR,MATCH(A233,PT_DIFFERENTIATION_VTAR_ID,0))</f>
        <v>Тариф на подвоз воды</v>
      </c>
      <c r="G233" s="757" t="str">
        <f aca="false">INDEX(PT_DIFFERENTIATION_NTAR,MATCH(B233,PT_DIFFERENTIATION_NTAR_ID,0))</f>
        <v/>
      </c>
      <c r="H233" s="361"/>
      <c r="I233" s="822"/>
      <c r="J233" s="823"/>
      <c r="K233" s="374"/>
      <c r="L233" s="361" t="s">
        <v>322</v>
      </c>
      <c r="M233" s="815"/>
      <c r="N233" s="664"/>
      <c r="O233" s="117"/>
      <c r="P233" s="117"/>
    </row>
    <row r="234" s="42" customFormat="true" ht="18.75" hidden="true" customHeight="true" outlineLevel="0" collapsed="false">
      <c r="A234" s="131"/>
      <c r="B234" s="131"/>
      <c r="C234" s="344" t="s">
        <v>1084</v>
      </c>
      <c r="D234" s="834"/>
      <c r="E234" s="299"/>
      <c r="F234" s="668"/>
      <c r="G234" s="757"/>
      <c r="H234" s="587"/>
      <c r="I234" s="167" t="s">
        <v>1083</v>
      </c>
      <c r="J234" s="211"/>
      <c r="K234" s="587"/>
      <c r="L234" s="810"/>
      <c r="M234" s="815"/>
      <c r="N234" s="664"/>
      <c r="O234" s="117"/>
      <c r="P234" s="117"/>
    </row>
    <row r="235" s="42" customFormat="true" ht="0.75" hidden="true" customHeight="true" outlineLevel="0" collapsed="false">
      <c r="A235" s="131"/>
      <c r="B235" s="131"/>
      <c r="C235" s="344" t="s">
        <v>1091</v>
      </c>
      <c r="D235" s="834"/>
      <c r="E235" s="299"/>
      <c r="F235" s="668"/>
      <c r="G235" s="833"/>
      <c r="H235" s="587"/>
      <c r="I235" s="167"/>
      <c r="J235" s="211"/>
      <c r="K235" s="587"/>
      <c r="L235" s="810"/>
      <c r="M235" s="815"/>
      <c r="N235" s="664"/>
      <c r="O235" s="117"/>
      <c r="P235" s="117"/>
    </row>
    <row r="236" s="42" customFormat="true" ht="18.75" hidden="true" customHeight="true" outlineLevel="0" collapsed="false">
      <c r="A236" s="131" t="s">
        <v>250</v>
      </c>
      <c r="B236" s="131" t="s">
        <v>251</v>
      </c>
      <c r="C236" s="344"/>
      <c r="D236" s="834"/>
      <c r="E236" s="299"/>
      <c r="F236" s="668" t="str">
        <f aca="false">INDEX(PT_DIFFERENTIATION_VTAR,MATCH(A236,PT_DIFFERENTIATION_VTAR_ID,0))</f>
        <v>Тариф на подключение (технологическое присоединение) к централизованной системе холодного водоснабжения</v>
      </c>
      <c r="G236" s="757" t="str">
        <f aca="false">INDEX(PT_DIFFERENTIATION_NTAR,MATCH(B236,PT_DIFFERENTIATION_NTAR_ID,0))</f>
        <v/>
      </c>
      <c r="H236" s="361"/>
      <c r="I236" s="822"/>
      <c r="J236" s="823"/>
      <c r="K236" s="374"/>
      <c r="L236" s="361" t="s">
        <v>322</v>
      </c>
      <c r="M236" s="815"/>
      <c r="N236" s="664"/>
      <c r="O236" s="117"/>
      <c r="P236" s="117"/>
    </row>
    <row r="237" s="42" customFormat="true" ht="18.75" hidden="true" customHeight="true" outlineLevel="0" collapsed="false">
      <c r="A237" s="131"/>
      <c r="B237" s="131"/>
      <c r="C237" s="344" t="s">
        <v>1084</v>
      </c>
      <c r="D237" s="834"/>
      <c r="E237" s="299"/>
      <c r="F237" s="668"/>
      <c r="G237" s="757"/>
      <c r="H237" s="587"/>
      <c r="I237" s="167" t="s">
        <v>1083</v>
      </c>
      <c r="J237" s="211"/>
      <c r="K237" s="587"/>
      <c r="L237" s="810"/>
      <c r="M237" s="815"/>
      <c r="N237" s="664"/>
      <c r="O237" s="117"/>
      <c r="P237" s="117"/>
    </row>
    <row r="238" s="42" customFormat="true" ht="0.75" hidden="true" customHeight="true" outlineLevel="0" collapsed="false">
      <c r="A238" s="131"/>
      <c r="B238" s="131"/>
      <c r="C238" s="344" t="s">
        <v>1091</v>
      </c>
      <c r="D238" s="834"/>
      <c r="E238" s="299"/>
      <c r="F238" s="668"/>
      <c r="G238" s="833"/>
      <c r="H238" s="587"/>
      <c r="I238" s="167"/>
      <c r="J238" s="211"/>
      <c r="K238" s="587"/>
      <c r="L238" s="810"/>
      <c r="M238" s="815"/>
      <c r="N238" s="664"/>
      <c r="O238" s="117"/>
      <c r="P238" s="117"/>
    </row>
    <row r="239" s="42" customFormat="true" ht="18.75" hidden="true" customHeight="true" outlineLevel="0" collapsed="false">
      <c r="A239" s="131" t="s">
        <v>257</v>
      </c>
      <c r="B239" s="131" t="s">
        <v>258</v>
      </c>
      <c r="C239" s="344"/>
      <c r="D239" s="834"/>
      <c r="E239" s="299"/>
      <c r="F239" s="668" t="str">
        <f aca="false">INDEX(PT_DIFFERENTIATION_VTAR,MATCH(A239,PT_DIFFERENTIATION_VTAR_ID,0))</f>
        <v>Тариф на горячую воду (горячее водоснабжение)</v>
      </c>
      <c r="G239" s="757" t="str">
        <f aca="false">INDEX(PT_DIFFERENTIATION_NTAR,MATCH(B239,PT_DIFFERENTIATION_NTAR_ID,0))</f>
        <v>тариф на горячую воду в закрытой системе горячего водоснабжения</v>
      </c>
      <c r="H239" s="361"/>
      <c r="I239" s="822"/>
      <c r="J239" s="823"/>
      <c r="K239" s="374"/>
      <c r="L239" s="361" t="s">
        <v>322</v>
      </c>
      <c r="M239" s="815"/>
      <c r="N239" s="664"/>
      <c r="O239" s="117"/>
      <c r="P239" s="117"/>
    </row>
    <row r="240" s="42" customFormat="true" ht="18.75" hidden="true" customHeight="true" outlineLevel="0" collapsed="false">
      <c r="A240" s="131"/>
      <c r="B240" s="131"/>
      <c r="C240" s="344" t="s">
        <v>1084</v>
      </c>
      <c r="D240" s="834"/>
      <c r="E240" s="299"/>
      <c r="F240" s="668"/>
      <c r="G240" s="757"/>
      <c r="H240" s="587"/>
      <c r="I240" s="167" t="s">
        <v>1083</v>
      </c>
      <c r="J240" s="211"/>
      <c r="K240" s="587"/>
      <c r="L240" s="810"/>
      <c r="M240" s="815"/>
      <c r="N240" s="664"/>
      <c r="O240" s="117"/>
      <c r="P240" s="117"/>
    </row>
    <row r="241" s="42" customFormat="true" ht="0.75" hidden="true" customHeight="true" outlineLevel="0" collapsed="false">
      <c r="A241" s="131"/>
      <c r="B241" s="131"/>
      <c r="C241" s="344" t="s">
        <v>1091</v>
      </c>
      <c r="D241" s="834"/>
      <c r="E241" s="299"/>
      <c r="F241" s="668"/>
      <c r="G241" s="833"/>
      <c r="H241" s="587"/>
      <c r="I241" s="167"/>
      <c r="J241" s="211"/>
      <c r="K241" s="587"/>
      <c r="L241" s="810"/>
      <c r="M241" s="815"/>
      <c r="N241" s="664"/>
      <c r="O241" s="117"/>
      <c r="P241" s="117"/>
    </row>
    <row r="242" s="42" customFormat="true" ht="18.75" hidden="true" customHeight="true" outlineLevel="0" collapsed="false">
      <c r="A242" s="131" t="s">
        <v>271</v>
      </c>
      <c r="B242" s="131" t="s">
        <v>272</v>
      </c>
      <c r="C242" s="344"/>
      <c r="D242" s="834"/>
      <c r="E242" s="299"/>
      <c r="F242" s="668" t="str">
        <f aca="false">INDEX(PT_DIFFERENTIATION_VTAR,MATCH(A242,PT_DIFFERENTIATION_VTAR_ID,0))</f>
        <v>Тариф на транспортировку горячей воды</v>
      </c>
      <c r="G242" s="757" t="str">
        <f aca="false">INDEX(PT_DIFFERENTIATION_NTAR,MATCH(B242,PT_DIFFERENTIATION_NTAR_ID,0))</f>
        <v/>
      </c>
      <c r="H242" s="361"/>
      <c r="I242" s="822"/>
      <c r="J242" s="823"/>
      <c r="K242" s="374"/>
      <c r="L242" s="361" t="s">
        <v>322</v>
      </c>
      <c r="M242" s="815"/>
      <c r="N242" s="664"/>
      <c r="O242" s="117"/>
      <c r="P242" s="117"/>
    </row>
    <row r="243" s="42" customFormat="true" ht="18.75" hidden="true" customHeight="true" outlineLevel="0" collapsed="false">
      <c r="A243" s="131"/>
      <c r="B243" s="131"/>
      <c r="C243" s="344" t="s">
        <v>1084</v>
      </c>
      <c r="D243" s="834"/>
      <c r="E243" s="299"/>
      <c r="F243" s="668"/>
      <c r="G243" s="757"/>
      <c r="H243" s="587"/>
      <c r="I243" s="167" t="s">
        <v>1083</v>
      </c>
      <c r="J243" s="211"/>
      <c r="K243" s="587"/>
      <c r="L243" s="810"/>
      <c r="M243" s="815"/>
      <c r="N243" s="664"/>
      <c r="O243" s="117"/>
      <c r="P243" s="117"/>
    </row>
    <row r="244" s="42" customFormat="true" ht="0.75" hidden="true" customHeight="true" outlineLevel="0" collapsed="false">
      <c r="A244" s="131"/>
      <c r="B244" s="131"/>
      <c r="C244" s="344" t="s">
        <v>1091</v>
      </c>
      <c r="D244" s="834"/>
      <c r="E244" s="299"/>
      <c r="F244" s="668"/>
      <c r="G244" s="833"/>
      <c r="H244" s="587"/>
      <c r="I244" s="167"/>
      <c r="J244" s="211"/>
      <c r="K244" s="587"/>
      <c r="L244" s="810"/>
      <c r="M244" s="815"/>
      <c r="N244" s="664"/>
      <c r="O244" s="117"/>
      <c r="P244" s="117"/>
    </row>
    <row r="245" s="42" customFormat="true" ht="18.75" hidden="true" customHeight="true" outlineLevel="0" collapsed="false">
      <c r="A245" s="131" t="s">
        <v>276</v>
      </c>
      <c r="B245" s="131" t="s">
        <v>277</v>
      </c>
      <c r="C245" s="344"/>
      <c r="D245" s="834"/>
      <c r="E245" s="299"/>
      <c r="F245" s="668" t="str">
        <f aca="false">INDEX(PT_DIFFERENTIATION_VTAR,MATCH(A245,PT_DIFFERENTIATION_VTAR_ID,0))</f>
        <v>Тариф на подключение (технологическое присоединение) к централизованной системе горячего водоснабжения</v>
      </c>
      <c r="G245" s="757" t="str">
        <f aca="false">INDEX(PT_DIFFERENTIATION_NTAR,MATCH(B245,PT_DIFFERENTIATION_NTAR_ID,0))</f>
        <v/>
      </c>
      <c r="H245" s="361"/>
      <c r="I245" s="822"/>
      <c r="J245" s="823"/>
      <c r="K245" s="374"/>
      <c r="L245" s="361" t="s">
        <v>322</v>
      </c>
      <c r="M245" s="815"/>
      <c r="N245" s="664"/>
      <c r="O245" s="117"/>
      <c r="P245" s="117"/>
    </row>
    <row r="246" s="42" customFormat="true" ht="18.75" hidden="true" customHeight="true" outlineLevel="0" collapsed="false">
      <c r="A246" s="131"/>
      <c r="B246" s="131"/>
      <c r="C246" s="344" t="s">
        <v>1084</v>
      </c>
      <c r="D246" s="834"/>
      <c r="E246" s="299"/>
      <c r="F246" s="668"/>
      <c r="G246" s="757"/>
      <c r="H246" s="587"/>
      <c r="I246" s="167" t="s">
        <v>1083</v>
      </c>
      <c r="J246" s="211"/>
      <c r="K246" s="587"/>
      <c r="L246" s="810"/>
      <c r="M246" s="815"/>
      <c r="N246" s="664"/>
      <c r="O246" s="117"/>
      <c r="P246" s="117"/>
    </row>
    <row r="247" s="42" customFormat="true" ht="0.75" hidden="true" customHeight="true" outlineLevel="0" collapsed="false">
      <c r="A247" s="131"/>
      <c r="B247" s="131"/>
      <c r="C247" s="344" t="s">
        <v>1091</v>
      </c>
      <c r="D247" s="834"/>
      <c r="E247" s="299"/>
      <c r="F247" s="668"/>
      <c r="G247" s="833"/>
      <c r="H247" s="587"/>
      <c r="I247" s="167"/>
      <c r="J247" s="211"/>
      <c r="K247" s="587"/>
      <c r="L247" s="810"/>
      <c r="M247" s="815"/>
      <c r="N247" s="664"/>
      <c r="O247" s="117"/>
      <c r="P247" s="117"/>
    </row>
    <row r="248" s="42" customFormat="true" ht="18.75" hidden="true" customHeight="true" outlineLevel="0" collapsed="false">
      <c r="A248" s="131" t="s">
        <v>281</v>
      </c>
      <c r="B248" s="131" t="s">
        <v>282</v>
      </c>
      <c r="C248" s="344"/>
      <c r="D248" s="834"/>
      <c r="E248" s="299"/>
      <c r="F248" s="668" t="str">
        <f aca="false">INDEX(PT_DIFFERENTIATION_VTAR,MATCH(A248,PT_DIFFERENTIATION_VTAR_ID,0))</f>
        <v>Тариф на водоотведение</v>
      </c>
      <c r="G248" s="757" t="str">
        <f aca="false">INDEX(PT_DIFFERENTIATION_NTAR,MATCH(B248,PT_DIFFERENTIATION_NTAR_ID,0))</f>
        <v/>
      </c>
      <c r="H248" s="361"/>
      <c r="I248" s="822"/>
      <c r="J248" s="823"/>
      <c r="K248" s="374"/>
      <c r="L248" s="361" t="s">
        <v>322</v>
      </c>
      <c r="M248" s="815"/>
      <c r="N248" s="664"/>
      <c r="O248" s="117"/>
      <c r="P248" s="117"/>
    </row>
    <row r="249" s="42" customFormat="true" ht="18.75" hidden="true" customHeight="true" outlineLevel="0" collapsed="false">
      <c r="A249" s="131"/>
      <c r="B249" s="131"/>
      <c r="C249" s="344" t="s">
        <v>1084</v>
      </c>
      <c r="D249" s="834"/>
      <c r="E249" s="299"/>
      <c r="F249" s="668"/>
      <c r="G249" s="757"/>
      <c r="H249" s="587"/>
      <c r="I249" s="167" t="s">
        <v>1083</v>
      </c>
      <c r="J249" s="211"/>
      <c r="K249" s="587"/>
      <c r="L249" s="810"/>
      <c r="M249" s="815"/>
      <c r="N249" s="664"/>
      <c r="O249" s="117"/>
      <c r="P249" s="117"/>
    </row>
    <row r="250" s="42" customFormat="true" ht="0.75" hidden="true" customHeight="true" outlineLevel="0" collapsed="false">
      <c r="A250" s="131"/>
      <c r="B250" s="131"/>
      <c r="C250" s="344" t="s">
        <v>1091</v>
      </c>
      <c r="D250" s="834"/>
      <c r="E250" s="299"/>
      <c r="F250" s="668"/>
      <c r="G250" s="833"/>
      <c r="H250" s="587"/>
      <c r="I250" s="167"/>
      <c r="J250" s="211"/>
      <c r="K250" s="587"/>
      <c r="L250" s="810"/>
      <c r="M250" s="815"/>
      <c r="N250" s="664"/>
      <c r="O250" s="117"/>
      <c r="P250" s="117"/>
    </row>
    <row r="251" s="42" customFormat="true" ht="18.75" hidden="true" customHeight="true" outlineLevel="0" collapsed="false">
      <c r="A251" s="131" t="s">
        <v>286</v>
      </c>
      <c r="B251" s="131" t="s">
        <v>287</v>
      </c>
      <c r="C251" s="344"/>
      <c r="D251" s="834"/>
      <c r="E251" s="299"/>
      <c r="F251" s="668" t="str">
        <f aca="false">INDEX(PT_DIFFERENTIATION_VTAR,MATCH(A251,PT_DIFFERENTIATION_VTAR_ID,0))</f>
        <v>Тариф на транспортировку сточных вод</v>
      </c>
      <c r="G251" s="757" t="str">
        <f aca="false">INDEX(PT_DIFFERENTIATION_NTAR,MATCH(B251,PT_DIFFERENTIATION_NTAR_ID,0))</f>
        <v/>
      </c>
      <c r="H251" s="361"/>
      <c r="I251" s="822"/>
      <c r="J251" s="823"/>
      <c r="K251" s="374"/>
      <c r="L251" s="361" t="s">
        <v>322</v>
      </c>
      <c r="M251" s="815"/>
      <c r="N251" s="664"/>
      <c r="O251" s="117"/>
      <c r="P251" s="117"/>
    </row>
    <row r="252" s="42" customFormat="true" ht="18.75" hidden="true" customHeight="true" outlineLevel="0" collapsed="false">
      <c r="A252" s="131"/>
      <c r="B252" s="131"/>
      <c r="C252" s="344" t="s">
        <v>1084</v>
      </c>
      <c r="D252" s="834"/>
      <c r="E252" s="299"/>
      <c r="F252" s="668"/>
      <c r="G252" s="757"/>
      <c r="H252" s="587"/>
      <c r="I252" s="167" t="s">
        <v>1083</v>
      </c>
      <c r="J252" s="211"/>
      <c r="K252" s="587"/>
      <c r="L252" s="810"/>
      <c r="M252" s="815"/>
      <c r="N252" s="664"/>
      <c r="O252" s="117"/>
      <c r="P252" s="117"/>
    </row>
    <row r="253" s="42" customFormat="true" ht="0.75" hidden="true" customHeight="true" outlineLevel="0" collapsed="false">
      <c r="A253" s="131"/>
      <c r="B253" s="131"/>
      <c r="C253" s="344" t="s">
        <v>1091</v>
      </c>
      <c r="D253" s="834"/>
      <c r="E253" s="299"/>
      <c r="F253" s="668"/>
      <c r="G253" s="833"/>
      <c r="H253" s="587"/>
      <c r="I253" s="167"/>
      <c r="J253" s="211"/>
      <c r="K253" s="587"/>
      <c r="L253" s="810"/>
      <c r="M253" s="815"/>
      <c r="N253" s="664"/>
      <c r="O253" s="117"/>
      <c r="P253" s="117"/>
    </row>
    <row r="254" s="42" customFormat="true" ht="18.75" hidden="true" customHeight="true" outlineLevel="0" collapsed="false">
      <c r="A254" s="131" t="s">
        <v>291</v>
      </c>
      <c r="B254" s="131" t="s">
        <v>292</v>
      </c>
      <c r="C254" s="344"/>
      <c r="D254" s="834"/>
      <c r="E254" s="299"/>
      <c r="F254" s="668" t="str">
        <f aca="false">INDEX(PT_DIFFERENTIATION_VTAR,MATCH(A254,PT_DIFFERENTIATION_VTAR_ID,0))</f>
        <v>Тариф на подключение (технологическое присоединение) к централизованной системе водоотведения</v>
      </c>
      <c r="G254" s="757" t="str">
        <f aca="false">INDEX(PT_DIFFERENTIATION_NTAR,MATCH(B254,PT_DIFFERENTIATION_NTAR_ID,0))</f>
        <v/>
      </c>
      <c r="H254" s="361"/>
      <c r="I254" s="822"/>
      <c r="J254" s="823"/>
      <c r="K254" s="374"/>
      <c r="L254" s="361" t="s">
        <v>322</v>
      </c>
      <c r="M254" s="815"/>
      <c r="N254" s="664"/>
      <c r="O254" s="117"/>
      <c r="P254" s="117"/>
    </row>
    <row r="255" s="42" customFormat="true" ht="18.75" hidden="true" customHeight="true" outlineLevel="0" collapsed="false">
      <c r="A255" s="131"/>
      <c r="B255" s="131"/>
      <c r="C255" s="344" t="s">
        <v>1084</v>
      </c>
      <c r="D255" s="834"/>
      <c r="E255" s="299"/>
      <c r="F255" s="668"/>
      <c r="G255" s="757"/>
      <c r="H255" s="587"/>
      <c r="I255" s="167" t="s">
        <v>1083</v>
      </c>
      <c r="J255" s="211"/>
      <c r="K255" s="587"/>
      <c r="L255" s="810"/>
      <c r="M255" s="815"/>
      <c r="N255" s="664"/>
      <c r="O255" s="117"/>
      <c r="P255" s="117"/>
    </row>
    <row r="256" s="42" customFormat="true" ht="0.75" hidden="false" customHeight="true" outlineLevel="0" collapsed="false">
      <c r="A256" s="131"/>
      <c r="B256" s="131"/>
      <c r="C256" s="344" t="s">
        <v>1091</v>
      </c>
      <c r="D256" s="834"/>
      <c r="E256" s="299"/>
      <c r="F256" s="668"/>
      <c r="G256" s="833"/>
      <c r="H256" s="587"/>
      <c r="I256" s="167"/>
      <c r="J256" s="211"/>
      <c r="K256" s="587"/>
      <c r="L256" s="810"/>
      <c r="M256" s="815"/>
      <c r="N256" s="664"/>
      <c r="O256" s="117"/>
      <c r="P256" s="117"/>
    </row>
    <row r="257" customFormat="false" ht="25.5" hidden="false" customHeight="true" outlineLevel="0" collapsed="false">
      <c r="A257" s="131"/>
      <c r="B257" s="131"/>
      <c r="D257" s="467"/>
      <c r="E257" s="299" t="s">
        <v>88</v>
      </c>
      <c r="F257" s="821"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821"/>
      <c r="H257" s="821"/>
      <c r="I257" s="821"/>
      <c r="J257" s="821"/>
      <c r="K257" s="821"/>
      <c r="L257" s="821"/>
      <c r="M257" s="800"/>
      <c r="N257" s="664"/>
    </row>
    <row r="258" s="42" customFormat="true" ht="60.75" hidden="true" customHeight="true" outlineLevel="0" collapsed="false">
      <c r="A258" s="131" t="s">
        <v>162</v>
      </c>
      <c r="B258" s="131" t="s">
        <v>163</v>
      </c>
      <c r="C258" s="344"/>
      <c r="D258" s="834"/>
      <c r="E258" s="299"/>
      <c r="F258" s="668" t="str">
        <f aca="false">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757" t="str">
        <f aca="false">INDEX(PT_DIFFERENTIATION_NTAR,MATCH(B258,PT_DIFFERENTIATION_NTAR_ID,0))</f>
        <v/>
      </c>
      <c r="H258" s="361"/>
      <c r="I258" s="822"/>
      <c r="J258" s="823"/>
      <c r="K258" s="374"/>
      <c r="L258" s="361" t="s">
        <v>322</v>
      </c>
      <c r="M258" s="798"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664"/>
      <c r="O258" s="117"/>
      <c r="P258" s="117"/>
    </row>
    <row r="259" s="42" customFormat="true" ht="18.75" hidden="true" customHeight="true" outlineLevel="0" collapsed="false">
      <c r="A259" s="131"/>
      <c r="B259" s="131"/>
      <c r="C259" s="344" t="s">
        <v>1084</v>
      </c>
      <c r="D259" s="834"/>
      <c r="E259" s="299"/>
      <c r="F259" s="668"/>
      <c r="G259" s="757"/>
      <c r="H259" s="587"/>
      <c r="I259" s="167" t="s">
        <v>1083</v>
      </c>
      <c r="J259" s="211"/>
      <c r="K259" s="587"/>
      <c r="L259" s="810"/>
      <c r="M259" s="798"/>
      <c r="N259" s="664"/>
      <c r="O259" s="117"/>
      <c r="P259" s="117"/>
    </row>
    <row r="260" s="42" customFormat="true" ht="0.75" hidden="true" customHeight="true" outlineLevel="0" collapsed="false">
      <c r="A260" s="131"/>
      <c r="B260" s="131"/>
      <c r="C260" s="344" t="s">
        <v>1091</v>
      </c>
      <c r="D260" s="834"/>
      <c r="E260" s="299"/>
      <c r="F260" s="668"/>
      <c r="G260" s="833"/>
      <c r="H260" s="587"/>
      <c r="I260" s="167"/>
      <c r="J260" s="211"/>
      <c r="K260" s="587"/>
      <c r="L260" s="810"/>
      <c r="M260" s="798"/>
      <c r="N260" s="664"/>
      <c r="O260" s="117"/>
      <c r="P260" s="117"/>
    </row>
    <row r="261" s="42" customFormat="true" ht="45" hidden="true" customHeight="true" outlineLevel="0" collapsed="false">
      <c r="A261" s="131" t="s">
        <v>168</v>
      </c>
      <c r="B261" s="131" t="s">
        <v>169</v>
      </c>
      <c r="C261" s="344"/>
      <c r="D261" s="834"/>
      <c r="E261" s="299"/>
      <c r="F261" s="668" t="str">
        <f aca="false">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757" t="str">
        <f aca="false">INDEX(PT_DIFFERENTIATION_NTAR,MATCH(B261,PT_DIFFERENTIATION_NTAR_ID,0))</f>
        <v/>
      </c>
      <c r="H261" s="361"/>
      <c r="I261" s="822"/>
      <c r="J261" s="823"/>
      <c r="K261" s="374"/>
      <c r="L261" s="361" t="s">
        <v>322</v>
      </c>
      <c r="M261" s="798"/>
      <c r="N261" s="664"/>
      <c r="O261" s="117"/>
      <c r="P261" s="117"/>
    </row>
    <row r="262" s="42" customFormat="true" ht="18.75" hidden="true" customHeight="true" outlineLevel="0" collapsed="false">
      <c r="A262" s="131"/>
      <c r="B262" s="131"/>
      <c r="C262" s="344" t="s">
        <v>1084</v>
      </c>
      <c r="D262" s="834"/>
      <c r="E262" s="299"/>
      <c r="F262" s="668"/>
      <c r="G262" s="757"/>
      <c r="H262" s="587"/>
      <c r="I262" s="167" t="s">
        <v>1083</v>
      </c>
      <c r="J262" s="211"/>
      <c r="K262" s="587"/>
      <c r="L262" s="810"/>
      <c r="M262" s="838"/>
      <c r="N262" s="664"/>
      <c r="O262" s="117"/>
      <c r="P262" s="117"/>
    </row>
    <row r="263" s="42" customFormat="true" ht="0.75" hidden="true" customHeight="true" outlineLevel="0" collapsed="false">
      <c r="A263" s="131"/>
      <c r="B263" s="131"/>
      <c r="C263" s="344" t="s">
        <v>1091</v>
      </c>
      <c r="D263" s="834"/>
      <c r="E263" s="299"/>
      <c r="F263" s="668"/>
      <c r="G263" s="833"/>
      <c r="H263" s="587"/>
      <c r="I263" s="167"/>
      <c r="J263" s="211"/>
      <c r="K263" s="587"/>
      <c r="L263" s="810"/>
      <c r="M263" s="815"/>
      <c r="N263" s="664"/>
      <c r="O263" s="117"/>
      <c r="P263" s="117"/>
    </row>
    <row r="264" s="42" customFormat="true" ht="45" hidden="true" customHeight="true" outlineLevel="0" collapsed="false">
      <c r="A264" s="131" t="s">
        <v>174</v>
      </c>
      <c r="B264" s="131" t="s">
        <v>175</v>
      </c>
      <c r="C264" s="344"/>
      <c r="D264" s="834"/>
      <c r="E264" s="299"/>
      <c r="F264" s="668" t="str">
        <f aca="false">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757" t="str">
        <f aca="false">INDEX(PT_DIFFERENTIATION_NTAR,MATCH(B264,PT_DIFFERENTIATION_NTAR_ID,0))</f>
        <v/>
      </c>
      <c r="H264" s="361"/>
      <c r="I264" s="822"/>
      <c r="J264" s="823"/>
      <c r="K264" s="374"/>
      <c r="L264" s="361" t="s">
        <v>322</v>
      </c>
      <c r="M264" s="815"/>
      <c r="N264" s="664"/>
      <c r="O264" s="117"/>
      <c r="P264" s="117"/>
    </row>
    <row r="265" s="42" customFormat="true" ht="18.75" hidden="true" customHeight="true" outlineLevel="0" collapsed="false">
      <c r="A265" s="131"/>
      <c r="B265" s="131"/>
      <c r="C265" s="344" t="s">
        <v>1084</v>
      </c>
      <c r="D265" s="834"/>
      <c r="E265" s="299"/>
      <c r="F265" s="668"/>
      <c r="G265" s="757"/>
      <c r="H265" s="587"/>
      <c r="I265" s="167" t="s">
        <v>1083</v>
      </c>
      <c r="J265" s="211"/>
      <c r="K265" s="587"/>
      <c r="L265" s="810"/>
      <c r="M265" s="815"/>
      <c r="N265" s="664"/>
      <c r="O265" s="117"/>
      <c r="P265" s="117"/>
    </row>
    <row r="266" s="42" customFormat="true" ht="0.75" hidden="true" customHeight="true" outlineLevel="0" collapsed="false">
      <c r="A266" s="131"/>
      <c r="B266" s="131"/>
      <c r="C266" s="344" t="s">
        <v>1091</v>
      </c>
      <c r="D266" s="834"/>
      <c r="E266" s="299"/>
      <c r="F266" s="668"/>
      <c r="G266" s="833"/>
      <c r="H266" s="587"/>
      <c r="I266" s="167"/>
      <c r="J266" s="211"/>
      <c r="K266" s="587"/>
      <c r="L266" s="810"/>
      <c r="M266" s="815"/>
      <c r="N266" s="664"/>
      <c r="O266" s="117"/>
      <c r="P266" s="117"/>
    </row>
    <row r="267" s="42" customFormat="true" ht="45" hidden="true" customHeight="true" outlineLevel="0" collapsed="false">
      <c r="A267" s="131" t="s">
        <v>180</v>
      </c>
      <c r="B267" s="131" t="s">
        <v>181</v>
      </c>
      <c r="C267" s="344"/>
      <c r="D267" s="834"/>
      <c r="E267" s="299"/>
      <c r="F267" s="668" t="str">
        <f aca="false">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757" t="str">
        <f aca="false">INDEX(PT_DIFFERENTIATION_NTAR,MATCH(B267,PT_DIFFERENTIATION_NTAR_ID,0))</f>
        <v/>
      </c>
      <c r="H267" s="361"/>
      <c r="I267" s="822"/>
      <c r="J267" s="823"/>
      <c r="K267" s="374"/>
      <c r="L267" s="361" t="s">
        <v>322</v>
      </c>
      <c r="M267" s="815"/>
      <c r="N267" s="664"/>
      <c r="O267" s="117"/>
      <c r="P267" s="117"/>
    </row>
    <row r="268" s="42" customFormat="true" ht="18.75" hidden="true" customHeight="true" outlineLevel="0" collapsed="false">
      <c r="A268" s="131"/>
      <c r="B268" s="131"/>
      <c r="C268" s="344" t="s">
        <v>1084</v>
      </c>
      <c r="D268" s="834"/>
      <c r="E268" s="299"/>
      <c r="F268" s="668"/>
      <c r="G268" s="757"/>
      <c r="H268" s="587"/>
      <c r="I268" s="167" t="s">
        <v>1083</v>
      </c>
      <c r="J268" s="211"/>
      <c r="K268" s="587"/>
      <c r="L268" s="810"/>
      <c r="M268" s="815"/>
      <c r="N268" s="664"/>
      <c r="O268" s="117"/>
      <c r="P268" s="117"/>
    </row>
    <row r="269" s="42" customFormat="true" ht="0.75" hidden="true" customHeight="true" outlineLevel="0" collapsed="false">
      <c r="A269" s="131"/>
      <c r="B269" s="131"/>
      <c r="C269" s="344" t="s">
        <v>1091</v>
      </c>
      <c r="D269" s="834"/>
      <c r="E269" s="299"/>
      <c r="F269" s="668"/>
      <c r="G269" s="833"/>
      <c r="H269" s="587"/>
      <c r="I269" s="167"/>
      <c r="J269" s="211"/>
      <c r="K269" s="587"/>
      <c r="L269" s="810"/>
      <c r="M269" s="815"/>
      <c r="N269" s="664"/>
      <c r="O269" s="117"/>
      <c r="P269" s="117"/>
    </row>
    <row r="270" s="42" customFormat="true" ht="18.75" hidden="true" customHeight="true" outlineLevel="0" collapsed="false">
      <c r="A270" s="131" t="s">
        <v>186</v>
      </c>
      <c r="B270" s="131" t="s">
        <v>187</v>
      </c>
      <c r="C270" s="344"/>
      <c r="D270" s="834"/>
      <c r="E270" s="299"/>
      <c r="F270" s="668" t="str">
        <f aca="false">INDEX(PT_DIFFERENTIATION_VTAR,MATCH(A270,PT_DIFFERENTIATION_VTAR_ID,0))</f>
        <v>Тарифы на услуги по передаче тепловой энергии</v>
      </c>
      <c r="G270" s="757" t="str">
        <f aca="false">INDEX(PT_DIFFERENTIATION_NTAR,MATCH(B270,PT_DIFFERENTIATION_NTAR_ID,0))</f>
        <v/>
      </c>
      <c r="H270" s="361"/>
      <c r="I270" s="822"/>
      <c r="J270" s="823"/>
      <c r="K270" s="374"/>
      <c r="L270" s="361" t="s">
        <v>322</v>
      </c>
      <c r="M270" s="815"/>
      <c r="N270" s="664"/>
      <c r="O270" s="117"/>
      <c r="P270" s="117"/>
    </row>
    <row r="271" s="42" customFormat="true" ht="18.75" hidden="true" customHeight="true" outlineLevel="0" collapsed="false">
      <c r="A271" s="131"/>
      <c r="B271" s="131"/>
      <c r="C271" s="344" t="s">
        <v>1084</v>
      </c>
      <c r="D271" s="834"/>
      <c r="E271" s="299"/>
      <c r="F271" s="668"/>
      <c r="G271" s="757"/>
      <c r="H271" s="587"/>
      <c r="I271" s="167" t="s">
        <v>1083</v>
      </c>
      <c r="J271" s="211"/>
      <c r="K271" s="587"/>
      <c r="L271" s="810"/>
      <c r="M271" s="815"/>
      <c r="N271" s="664"/>
      <c r="O271" s="117"/>
      <c r="P271" s="117"/>
    </row>
    <row r="272" s="42" customFormat="true" ht="0.75" hidden="true" customHeight="true" outlineLevel="0" collapsed="false">
      <c r="A272" s="131"/>
      <c r="B272" s="131"/>
      <c r="C272" s="344" t="s">
        <v>1091</v>
      </c>
      <c r="D272" s="834"/>
      <c r="E272" s="299"/>
      <c r="F272" s="668"/>
      <c r="G272" s="833"/>
      <c r="H272" s="587"/>
      <c r="I272" s="167"/>
      <c r="J272" s="211"/>
      <c r="K272" s="587"/>
      <c r="L272" s="810"/>
      <c r="M272" s="815"/>
      <c r="N272" s="664"/>
      <c r="O272" s="117"/>
      <c r="P272" s="117"/>
    </row>
    <row r="273" s="42" customFormat="true" ht="18.75" hidden="true" customHeight="true" outlineLevel="0" collapsed="false">
      <c r="A273" s="131" t="s">
        <v>192</v>
      </c>
      <c r="B273" s="131" t="s">
        <v>193</v>
      </c>
      <c r="C273" s="344"/>
      <c r="D273" s="834"/>
      <c r="E273" s="299"/>
      <c r="F273" s="668" t="str">
        <f aca="false">INDEX(PT_DIFFERENTIATION_VTAR,MATCH(A273,PT_DIFFERENTIATION_VTAR_ID,0))</f>
        <v>Тарифы на услуги по передаче теплоносителя</v>
      </c>
      <c r="G273" s="757" t="str">
        <f aca="false">INDEX(PT_DIFFERENTIATION_NTAR,MATCH(B273,PT_DIFFERENTIATION_NTAR_ID,0))</f>
        <v/>
      </c>
      <c r="H273" s="361"/>
      <c r="I273" s="822"/>
      <c r="J273" s="823"/>
      <c r="K273" s="374"/>
      <c r="L273" s="361" t="s">
        <v>322</v>
      </c>
      <c r="M273" s="815"/>
      <c r="N273" s="664"/>
      <c r="O273" s="117"/>
      <c r="P273" s="117"/>
    </row>
    <row r="274" s="42" customFormat="true" ht="18.75" hidden="true" customHeight="true" outlineLevel="0" collapsed="false">
      <c r="A274" s="131"/>
      <c r="B274" s="131"/>
      <c r="C274" s="344" t="s">
        <v>1084</v>
      </c>
      <c r="D274" s="834"/>
      <c r="E274" s="299"/>
      <c r="F274" s="668"/>
      <c r="G274" s="757"/>
      <c r="H274" s="587"/>
      <c r="I274" s="167" t="s">
        <v>1083</v>
      </c>
      <c r="J274" s="211"/>
      <c r="K274" s="587"/>
      <c r="L274" s="810"/>
      <c r="M274" s="815"/>
      <c r="N274" s="664"/>
      <c r="O274" s="117"/>
      <c r="P274" s="117"/>
    </row>
    <row r="275" s="42" customFormat="true" ht="0.75" hidden="true" customHeight="true" outlineLevel="0" collapsed="false">
      <c r="A275" s="131"/>
      <c r="B275" s="131"/>
      <c r="C275" s="344" t="s">
        <v>1091</v>
      </c>
      <c r="D275" s="834"/>
      <c r="E275" s="299"/>
      <c r="F275" s="668"/>
      <c r="G275" s="833"/>
      <c r="H275" s="587"/>
      <c r="I275" s="167"/>
      <c r="J275" s="211"/>
      <c r="K275" s="587"/>
      <c r="L275" s="810"/>
      <c r="M275" s="815"/>
      <c r="N275" s="664"/>
      <c r="O275" s="117"/>
      <c r="P275" s="117"/>
    </row>
    <row r="276" s="42" customFormat="true" ht="18.75" hidden="true" customHeight="true" outlineLevel="0" collapsed="false">
      <c r="A276" s="131" t="s">
        <v>198</v>
      </c>
      <c r="B276" s="131" t="s">
        <v>199</v>
      </c>
      <c r="C276" s="344"/>
      <c r="D276" s="834"/>
      <c r="E276" s="299"/>
      <c r="F276" s="668" t="str">
        <f aca="false">INDEX(PT_DIFFERENTIATION_VTAR,MATCH(A276,PT_DIFFERENTIATION_VTAR_ID,0))</f>
        <v>Плата за услуги по поддержанию резервной тепловой мощности при отсутствии потребления тепловой энергии</v>
      </c>
      <c r="G276" s="757" t="str">
        <f aca="false">INDEX(PT_DIFFERENTIATION_NTAR,MATCH(B276,PT_DIFFERENTIATION_NTAR_ID,0))</f>
        <v/>
      </c>
      <c r="H276" s="361"/>
      <c r="I276" s="822"/>
      <c r="J276" s="823"/>
      <c r="K276" s="374"/>
      <c r="L276" s="361" t="s">
        <v>322</v>
      </c>
      <c r="M276" s="815"/>
      <c r="N276" s="664"/>
      <c r="O276" s="117"/>
      <c r="P276" s="117"/>
    </row>
    <row r="277" s="42" customFormat="true" ht="18.75" hidden="true" customHeight="true" outlineLevel="0" collapsed="false">
      <c r="A277" s="131"/>
      <c r="B277" s="131"/>
      <c r="C277" s="344" t="s">
        <v>1084</v>
      </c>
      <c r="D277" s="834"/>
      <c r="E277" s="299"/>
      <c r="F277" s="668"/>
      <c r="G277" s="757"/>
      <c r="H277" s="587"/>
      <c r="I277" s="167" t="s">
        <v>1083</v>
      </c>
      <c r="J277" s="211"/>
      <c r="K277" s="587"/>
      <c r="L277" s="810"/>
      <c r="M277" s="815"/>
      <c r="N277" s="664"/>
      <c r="O277" s="117"/>
      <c r="P277" s="117"/>
    </row>
    <row r="278" s="42" customFormat="true" ht="0.75" hidden="true" customHeight="true" outlineLevel="0" collapsed="false">
      <c r="A278" s="131"/>
      <c r="B278" s="131"/>
      <c r="C278" s="344" t="s">
        <v>1091</v>
      </c>
      <c r="D278" s="834"/>
      <c r="E278" s="299"/>
      <c r="F278" s="668"/>
      <c r="G278" s="833"/>
      <c r="H278" s="587"/>
      <c r="I278" s="167"/>
      <c r="J278" s="211"/>
      <c r="K278" s="587"/>
      <c r="L278" s="810"/>
      <c r="M278" s="815"/>
      <c r="N278" s="664"/>
      <c r="O278" s="117"/>
      <c r="P278" s="117"/>
    </row>
    <row r="279" s="42" customFormat="true" ht="18.75" hidden="true" customHeight="true" outlineLevel="0" collapsed="false">
      <c r="A279" s="131" t="s">
        <v>204</v>
      </c>
      <c r="B279" s="131" t="s">
        <v>205</v>
      </c>
      <c r="C279" s="344"/>
      <c r="D279" s="834"/>
      <c r="E279" s="299"/>
      <c r="F279" s="668" t="str">
        <f aca="false">INDEX(PT_DIFFERENTIATION_VTAR,MATCH(A279,PT_DIFFERENTIATION_VTAR_ID,0))</f>
        <v>Плата за подключение (технологическое присоединение) к системе теплоснабжения</v>
      </c>
      <c r="G279" s="757" t="str">
        <f aca="false">INDEX(PT_DIFFERENTIATION_NTAR,MATCH(B279,PT_DIFFERENTIATION_NTAR_ID,0))</f>
        <v/>
      </c>
      <c r="H279" s="361"/>
      <c r="I279" s="822"/>
      <c r="J279" s="823"/>
      <c r="K279" s="374"/>
      <c r="L279" s="361" t="s">
        <v>322</v>
      </c>
      <c r="M279" s="815"/>
      <c r="N279" s="664"/>
      <c r="O279" s="117"/>
      <c r="P279" s="117"/>
    </row>
    <row r="280" s="42" customFormat="true" ht="18.75" hidden="true" customHeight="true" outlineLevel="0" collapsed="false">
      <c r="A280" s="131"/>
      <c r="B280" s="131"/>
      <c r="C280" s="344" t="s">
        <v>1084</v>
      </c>
      <c r="D280" s="834"/>
      <c r="E280" s="299"/>
      <c r="F280" s="668"/>
      <c r="G280" s="757"/>
      <c r="H280" s="587"/>
      <c r="I280" s="167" t="s">
        <v>1083</v>
      </c>
      <c r="J280" s="211"/>
      <c r="K280" s="587"/>
      <c r="L280" s="810"/>
      <c r="M280" s="815"/>
      <c r="N280" s="664"/>
      <c r="O280" s="117"/>
      <c r="P280" s="117"/>
    </row>
    <row r="281" s="42" customFormat="true" ht="0.75" hidden="true" customHeight="true" outlineLevel="0" collapsed="false">
      <c r="A281" s="131"/>
      <c r="B281" s="131"/>
      <c r="C281" s="344" t="s">
        <v>1091</v>
      </c>
      <c r="D281" s="834"/>
      <c r="E281" s="299"/>
      <c r="F281" s="668"/>
      <c r="G281" s="833"/>
      <c r="H281" s="587"/>
      <c r="I281" s="167"/>
      <c r="J281" s="211"/>
      <c r="K281" s="587"/>
      <c r="L281" s="810"/>
      <c r="M281" s="815"/>
      <c r="N281" s="664"/>
      <c r="O281" s="117"/>
      <c r="P281" s="117"/>
    </row>
    <row r="282" s="42" customFormat="true" ht="18.75" hidden="true" customHeight="true" outlineLevel="0" collapsed="false">
      <c r="A282" s="131" t="s">
        <v>230</v>
      </c>
      <c r="B282" s="131" t="s">
        <v>231</v>
      </c>
      <c r="C282" s="344"/>
      <c r="D282" s="834"/>
      <c r="E282" s="299"/>
      <c r="F282" s="668" t="str">
        <f aca="false">INDEX(PT_DIFFERENTIATION_VTAR,MATCH(A282,PT_DIFFERENTIATION_VTAR_ID,0))</f>
        <v>Тариф на питьевую воду (питьевое водоснабжение)</v>
      </c>
      <c r="G282" s="757" t="str">
        <f aca="false">INDEX(PT_DIFFERENTIATION_NTAR,MATCH(B282,PT_DIFFERENTIATION_NTAR_ID,0))</f>
        <v/>
      </c>
      <c r="H282" s="361"/>
      <c r="I282" s="822"/>
      <c r="J282" s="823"/>
      <c r="K282" s="374"/>
      <c r="L282" s="361" t="s">
        <v>322</v>
      </c>
      <c r="M282" s="815"/>
      <c r="N282" s="664"/>
      <c r="O282" s="117"/>
      <c r="P282" s="117"/>
    </row>
    <row r="283" s="42" customFormat="true" ht="18.75" hidden="true" customHeight="true" outlineLevel="0" collapsed="false">
      <c r="A283" s="131"/>
      <c r="B283" s="131"/>
      <c r="C283" s="344" t="s">
        <v>1084</v>
      </c>
      <c r="D283" s="834"/>
      <c r="E283" s="299"/>
      <c r="F283" s="668"/>
      <c r="G283" s="757"/>
      <c r="H283" s="587"/>
      <c r="I283" s="167" t="s">
        <v>1083</v>
      </c>
      <c r="J283" s="211"/>
      <c r="K283" s="587"/>
      <c r="L283" s="810"/>
      <c r="M283" s="815"/>
      <c r="N283" s="664"/>
      <c r="O283" s="117"/>
      <c r="P283" s="117"/>
    </row>
    <row r="284" s="42" customFormat="true" ht="0.75" hidden="true" customHeight="true" outlineLevel="0" collapsed="false">
      <c r="A284" s="131"/>
      <c r="B284" s="131"/>
      <c r="C284" s="344" t="s">
        <v>1091</v>
      </c>
      <c r="D284" s="834"/>
      <c r="E284" s="299"/>
      <c r="F284" s="668"/>
      <c r="G284" s="833"/>
      <c r="H284" s="587"/>
      <c r="I284" s="167"/>
      <c r="J284" s="211"/>
      <c r="K284" s="587"/>
      <c r="L284" s="810"/>
      <c r="M284" s="815"/>
      <c r="N284" s="664"/>
      <c r="O284" s="117"/>
      <c r="P284" s="117"/>
    </row>
    <row r="285" s="42" customFormat="true" ht="18.75" hidden="true" customHeight="true" outlineLevel="0" collapsed="false">
      <c r="A285" s="131" t="s">
        <v>235</v>
      </c>
      <c r="B285" s="131" t="s">
        <v>236</v>
      </c>
      <c r="C285" s="344"/>
      <c r="D285" s="834"/>
      <c r="E285" s="299"/>
      <c r="F285" s="668" t="str">
        <f aca="false">INDEX(PT_DIFFERENTIATION_VTAR,MATCH(A285,PT_DIFFERENTIATION_VTAR_ID,0))</f>
        <v>Тариф на техническую воду</v>
      </c>
      <c r="G285" s="757" t="str">
        <f aca="false">INDEX(PT_DIFFERENTIATION_NTAR,MATCH(B285,PT_DIFFERENTIATION_NTAR_ID,0))</f>
        <v/>
      </c>
      <c r="H285" s="361"/>
      <c r="I285" s="822"/>
      <c r="J285" s="823"/>
      <c r="K285" s="374"/>
      <c r="L285" s="361" t="s">
        <v>322</v>
      </c>
      <c r="M285" s="815"/>
      <c r="N285" s="664"/>
      <c r="O285" s="117"/>
      <c r="P285" s="117"/>
    </row>
    <row r="286" s="42" customFormat="true" ht="18.75" hidden="true" customHeight="true" outlineLevel="0" collapsed="false">
      <c r="A286" s="131"/>
      <c r="B286" s="131"/>
      <c r="C286" s="344" t="s">
        <v>1084</v>
      </c>
      <c r="D286" s="834"/>
      <c r="E286" s="299"/>
      <c r="F286" s="668"/>
      <c r="G286" s="757"/>
      <c r="H286" s="587"/>
      <c r="I286" s="167" t="s">
        <v>1083</v>
      </c>
      <c r="J286" s="211"/>
      <c r="K286" s="587"/>
      <c r="L286" s="810"/>
      <c r="M286" s="815"/>
      <c r="N286" s="664"/>
      <c r="O286" s="117"/>
      <c r="P286" s="117"/>
    </row>
    <row r="287" s="42" customFormat="true" ht="0.75" hidden="true" customHeight="true" outlineLevel="0" collapsed="false">
      <c r="A287" s="131"/>
      <c r="B287" s="131"/>
      <c r="C287" s="344" t="s">
        <v>1091</v>
      </c>
      <c r="D287" s="834"/>
      <c r="E287" s="299"/>
      <c r="F287" s="668"/>
      <c r="G287" s="833"/>
      <c r="H287" s="587"/>
      <c r="I287" s="167"/>
      <c r="J287" s="211"/>
      <c r="K287" s="587"/>
      <c r="L287" s="810"/>
      <c r="M287" s="815"/>
      <c r="N287" s="664"/>
      <c r="O287" s="117"/>
      <c r="P287" s="117"/>
    </row>
    <row r="288" s="42" customFormat="true" ht="18.75" hidden="true" customHeight="true" outlineLevel="0" collapsed="false">
      <c r="A288" s="131" t="s">
        <v>240</v>
      </c>
      <c r="B288" s="131" t="s">
        <v>241</v>
      </c>
      <c r="C288" s="344"/>
      <c r="D288" s="834"/>
      <c r="E288" s="299"/>
      <c r="F288" s="668" t="str">
        <f aca="false">INDEX(PT_DIFFERENTIATION_VTAR,MATCH(A288,PT_DIFFERENTIATION_VTAR_ID,0))</f>
        <v>Тариф на транспортировку воды</v>
      </c>
      <c r="G288" s="757" t="str">
        <f aca="false">INDEX(PT_DIFFERENTIATION_NTAR,MATCH(B288,PT_DIFFERENTIATION_NTAR_ID,0))</f>
        <v/>
      </c>
      <c r="H288" s="361"/>
      <c r="I288" s="822"/>
      <c r="J288" s="823"/>
      <c r="K288" s="374"/>
      <c r="L288" s="361" t="s">
        <v>322</v>
      </c>
      <c r="M288" s="815"/>
      <c r="N288" s="664"/>
      <c r="O288" s="117"/>
      <c r="P288" s="117"/>
    </row>
    <row r="289" s="42" customFormat="true" ht="18.75" hidden="true" customHeight="true" outlineLevel="0" collapsed="false">
      <c r="A289" s="131"/>
      <c r="B289" s="131"/>
      <c r="C289" s="344" t="s">
        <v>1084</v>
      </c>
      <c r="D289" s="834"/>
      <c r="E289" s="299"/>
      <c r="F289" s="668"/>
      <c r="G289" s="757"/>
      <c r="H289" s="587"/>
      <c r="I289" s="167" t="s">
        <v>1083</v>
      </c>
      <c r="J289" s="211"/>
      <c r="K289" s="587"/>
      <c r="L289" s="810"/>
      <c r="M289" s="815"/>
      <c r="N289" s="664"/>
      <c r="O289" s="117"/>
      <c r="P289" s="117"/>
    </row>
    <row r="290" s="42" customFormat="true" ht="0.75" hidden="true" customHeight="true" outlineLevel="0" collapsed="false">
      <c r="A290" s="131"/>
      <c r="B290" s="131"/>
      <c r="C290" s="344" t="s">
        <v>1091</v>
      </c>
      <c r="D290" s="834"/>
      <c r="E290" s="299"/>
      <c r="F290" s="668"/>
      <c r="G290" s="833"/>
      <c r="H290" s="587"/>
      <c r="I290" s="167"/>
      <c r="J290" s="211"/>
      <c r="K290" s="587"/>
      <c r="L290" s="810"/>
      <c r="M290" s="815"/>
      <c r="N290" s="664"/>
      <c r="O290" s="117"/>
      <c r="P290" s="117"/>
    </row>
    <row r="291" s="42" customFormat="true" ht="18.75" hidden="true" customHeight="true" outlineLevel="0" collapsed="false">
      <c r="A291" s="131" t="s">
        <v>245</v>
      </c>
      <c r="B291" s="131" t="s">
        <v>246</v>
      </c>
      <c r="C291" s="344"/>
      <c r="D291" s="834"/>
      <c r="E291" s="299"/>
      <c r="F291" s="668" t="str">
        <f aca="false">INDEX(PT_DIFFERENTIATION_VTAR,MATCH(A291,PT_DIFFERENTIATION_VTAR_ID,0))</f>
        <v>Тариф на подвоз воды</v>
      </c>
      <c r="G291" s="757" t="str">
        <f aca="false">INDEX(PT_DIFFERENTIATION_NTAR,MATCH(B291,PT_DIFFERENTIATION_NTAR_ID,0))</f>
        <v/>
      </c>
      <c r="H291" s="361"/>
      <c r="I291" s="822"/>
      <c r="J291" s="823"/>
      <c r="K291" s="374"/>
      <c r="L291" s="361" t="s">
        <v>322</v>
      </c>
      <c r="M291" s="815"/>
      <c r="N291" s="664"/>
      <c r="O291" s="117"/>
      <c r="P291" s="117"/>
    </row>
    <row r="292" s="42" customFormat="true" ht="18.75" hidden="true" customHeight="true" outlineLevel="0" collapsed="false">
      <c r="A292" s="131"/>
      <c r="B292" s="131"/>
      <c r="C292" s="344" t="s">
        <v>1084</v>
      </c>
      <c r="D292" s="834"/>
      <c r="E292" s="299"/>
      <c r="F292" s="668"/>
      <c r="G292" s="757"/>
      <c r="H292" s="587"/>
      <c r="I292" s="167" t="s">
        <v>1083</v>
      </c>
      <c r="J292" s="211"/>
      <c r="K292" s="587"/>
      <c r="L292" s="810"/>
      <c r="M292" s="815"/>
      <c r="N292" s="664"/>
      <c r="O292" s="117"/>
      <c r="P292" s="117"/>
    </row>
    <row r="293" s="42" customFormat="true" ht="0.75" hidden="true" customHeight="true" outlineLevel="0" collapsed="false">
      <c r="A293" s="131"/>
      <c r="B293" s="131"/>
      <c r="C293" s="344" t="s">
        <v>1091</v>
      </c>
      <c r="D293" s="834"/>
      <c r="E293" s="299"/>
      <c r="F293" s="668"/>
      <c r="G293" s="833"/>
      <c r="H293" s="587"/>
      <c r="I293" s="167"/>
      <c r="J293" s="211"/>
      <c r="K293" s="587"/>
      <c r="L293" s="810"/>
      <c r="M293" s="815"/>
      <c r="N293" s="664"/>
      <c r="O293" s="117"/>
      <c r="P293" s="117"/>
    </row>
    <row r="294" s="42" customFormat="true" ht="18.75" hidden="true" customHeight="true" outlineLevel="0" collapsed="false">
      <c r="A294" s="131" t="s">
        <v>250</v>
      </c>
      <c r="B294" s="131" t="s">
        <v>251</v>
      </c>
      <c r="C294" s="344"/>
      <c r="D294" s="834"/>
      <c r="E294" s="299"/>
      <c r="F294" s="668" t="str">
        <f aca="false">INDEX(PT_DIFFERENTIATION_VTAR,MATCH(A294,PT_DIFFERENTIATION_VTAR_ID,0))</f>
        <v>Тариф на подключение (технологическое присоединение) к централизованной системе холодного водоснабжения</v>
      </c>
      <c r="G294" s="757" t="str">
        <f aca="false">INDEX(PT_DIFFERENTIATION_NTAR,MATCH(B294,PT_DIFFERENTIATION_NTAR_ID,0))</f>
        <v/>
      </c>
      <c r="H294" s="361"/>
      <c r="I294" s="822"/>
      <c r="J294" s="823"/>
      <c r="K294" s="374"/>
      <c r="L294" s="361" t="s">
        <v>322</v>
      </c>
      <c r="M294" s="815"/>
      <c r="N294" s="664"/>
      <c r="O294" s="117"/>
      <c r="P294" s="117"/>
    </row>
    <row r="295" s="42" customFormat="true" ht="18.75" hidden="true" customHeight="true" outlineLevel="0" collapsed="false">
      <c r="A295" s="131"/>
      <c r="B295" s="131"/>
      <c r="C295" s="344" t="s">
        <v>1084</v>
      </c>
      <c r="D295" s="834"/>
      <c r="E295" s="299"/>
      <c r="F295" s="668"/>
      <c r="G295" s="757"/>
      <c r="H295" s="587"/>
      <c r="I295" s="167" t="s">
        <v>1083</v>
      </c>
      <c r="J295" s="211"/>
      <c r="K295" s="587"/>
      <c r="L295" s="810"/>
      <c r="M295" s="815"/>
      <c r="N295" s="664"/>
      <c r="O295" s="117"/>
      <c r="P295" s="117"/>
    </row>
    <row r="296" s="42" customFormat="true" ht="0.75" hidden="true" customHeight="true" outlineLevel="0" collapsed="false">
      <c r="A296" s="131"/>
      <c r="B296" s="131"/>
      <c r="C296" s="344" t="s">
        <v>1091</v>
      </c>
      <c r="D296" s="834"/>
      <c r="E296" s="299"/>
      <c r="F296" s="668"/>
      <c r="G296" s="833"/>
      <c r="H296" s="587"/>
      <c r="I296" s="167"/>
      <c r="J296" s="211"/>
      <c r="K296" s="587"/>
      <c r="L296" s="810"/>
      <c r="M296" s="815"/>
      <c r="N296" s="664"/>
      <c r="O296" s="117"/>
      <c r="P296" s="117"/>
    </row>
    <row r="297" s="42" customFormat="true" ht="18.75" hidden="true" customHeight="true" outlineLevel="0" collapsed="false">
      <c r="A297" s="131" t="s">
        <v>257</v>
      </c>
      <c r="B297" s="131" t="s">
        <v>258</v>
      </c>
      <c r="C297" s="344"/>
      <c r="D297" s="834"/>
      <c r="E297" s="299"/>
      <c r="F297" s="668" t="str">
        <f aca="false">INDEX(PT_DIFFERENTIATION_VTAR,MATCH(A297,PT_DIFFERENTIATION_VTAR_ID,0))</f>
        <v>Тариф на горячую воду (горячее водоснабжение)</v>
      </c>
      <c r="G297" s="757" t="str">
        <f aca="false">INDEX(PT_DIFFERENTIATION_NTAR,MATCH(B297,PT_DIFFERENTIATION_NTAR_ID,0))</f>
        <v>тариф на горячую воду в закрытой системе горячего водоснабжения</v>
      </c>
      <c r="H297" s="361"/>
      <c r="I297" s="822"/>
      <c r="J297" s="823"/>
      <c r="K297" s="374"/>
      <c r="L297" s="361" t="s">
        <v>322</v>
      </c>
      <c r="M297" s="815"/>
      <c r="N297" s="664"/>
      <c r="O297" s="117"/>
      <c r="P297" s="117"/>
    </row>
    <row r="298" s="42" customFormat="true" ht="18.75" hidden="true" customHeight="true" outlineLevel="0" collapsed="false">
      <c r="A298" s="131"/>
      <c r="B298" s="131"/>
      <c r="C298" s="344" t="s">
        <v>1084</v>
      </c>
      <c r="D298" s="834"/>
      <c r="E298" s="299"/>
      <c r="F298" s="668"/>
      <c r="G298" s="757"/>
      <c r="H298" s="587"/>
      <c r="I298" s="167" t="s">
        <v>1083</v>
      </c>
      <c r="J298" s="211"/>
      <c r="K298" s="587"/>
      <c r="L298" s="810"/>
      <c r="M298" s="815"/>
      <c r="N298" s="664"/>
      <c r="O298" s="117"/>
      <c r="P298" s="117"/>
    </row>
    <row r="299" s="42" customFormat="true" ht="0.75" hidden="true" customHeight="true" outlineLevel="0" collapsed="false">
      <c r="A299" s="131"/>
      <c r="B299" s="131"/>
      <c r="C299" s="344" t="s">
        <v>1091</v>
      </c>
      <c r="D299" s="834"/>
      <c r="E299" s="299"/>
      <c r="F299" s="668"/>
      <c r="G299" s="833"/>
      <c r="H299" s="587"/>
      <c r="I299" s="167"/>
      <c r="J299" s="211"/>
      <c r="K299" s="587"/>
      <c r="L299" s="810"/>
      <c r="M299" s="815"/>
      <c r="N299" s="664"/>
      <c r="O299" s="117"/>
      <c r="P299" s="117"/>
    </row>
    <row r="300" s="42" customFormat="true" ht="18.75" hidden="true" customHeight="true" outlineLevel="0" collapsed="false">
      <c r="A300" s="131" t="s">
        <v>271</v>
      </c>
      <c r="B300" s="131" t="s">
        <v>272</v>
      </c>
      <c r="C300" s="344"/>
      <c r="D300" s="834"/>
      <c r="E300" s="299"/>
      <c r="F300" s="668" t="str">
        <f aca="false">INDEX(PT_DIFFERENTIATION_VTAR,MATCH(A300,PT_DIFFERENTIATION_VTAR_ID,0))</f>
        <v>Тариф на транспортировку горячей воды</v>
      </c>
      <c r="G300" s="757" t="str">
        <f aca="false">INDEX(PT_DIFFERENTIATION_NTAR,MATCH(B300,PT_DIFFERENTIATION_NTAR_ID,0))</f>
        <v/>
      </c>
      <c r="H300" s="361"/>
      <c r="I300" s="822"/>
      <c r="J300" s="823"/>
      <c r="K300" s="374"/>
      <c r="L300" s="361" t="s">
        <v>322</v>
      </c>
      <c r="M300" s="815"/>
      <c r="N300" s="664"/>
      <c r="O300" s="117"/>
      <c r="P300" s="117"/>
    </row>
    <row r="301" s="42" customFormat="true" ht="18.75" hidden="true" customHeight="true" outlineLevel="0" collapsed="false">
      <c r="A301" s="131"/>
      <c r="B301" s="131"/>
      <c r="C301" s="344" t="s">
        <v>1084</v>
      </c>
      <c r="D301" s="834"/>
      <c r="E301" s="299"/>
      <c r="F301" s="668"/>
      <c r="G301" s="757"/>
      <c r="H301" s="587"/>
      <c r="I301" s="167" t="s">
        <v>1083</v>
      </c>
      <c r="J301" s="211"/>
      <c r="K301" s="587"/>
      <c r="L301" s="810"/>
      <c r="M301" s="815"/>
      <c r="N301" s="664"/>
      <c r="O301" s="117"/>
      <c r="P301" s="117"/>
    </row>
    <row r="302" s="42" customFormat="true" ht="0.75" hidden="true" customHeight="true" outlineLevel="0" collapsed="false">
      <c r="A302" s="131"/>
      <c r="B302" s="131"/>
      <c r="C302" s="344" t="s">
        <v>1091</v>
      </c>
      <c r="D302" s="834"/>
      <c r="E302" s="299"/>
      <c r="F302" s="668"/>
      <c r="G302" s="833"/>
      <c r="H302" s="587"/>
      <c r="I302" s="167"/>
      <c r="J302" s="211"/>
      <c r="K302" s="587"/>
      <c r="L302" s="810"/>
      <c r="M302" s="815"/>
      <c r="N302" s="664"/>
      <c r="O302" s="117"/>
      <c r="P302" s="117"/>
    </row>
    <row r="303" s="42" customFormat="true" ht="18.75" hidden="true" customHeight="true" outlineLevel="0" collapsed="false">
      <c r="A303" s="131" t="s">
        <v>276</v>
      </c>
      <c r="B303" s="131" t="s">
        <v>277</v>
      </c>
      <c r="C303" s="344"/>
      <c r="D303" s="834"/>
      <c r="E303" s="299"/>
      <c r="F303" s="668" t="str">
        <f aca="false">INDEX(PT_DIFFERENTIATION_VTAR,MATCH(A303,PT_DIFFERENTIATION_VTAR_ID,0))</f>
        <v>Тариф на подключение (технологическое присоединение) к централизованной системе горячего водоснабжения</v>
      </c>
      <c r="G303" s="757" t="str">
        <f aca="false">INDEX(PT_DIFFERENTIATION_NTAR,MATCH(B303,PT_DIFFERENTIATION_NTAR_ID,0))</f>
        <v/>
      </c>
      <c r="H303" s="361"/>
      <c r="I303" s="822"/>
      <c r="J303" s="823"/>
      <c r="K303" s="374"/>
      <c r="L303" s="361" t="s">
        <v>322</v>
      </c>
      <c r="M303" s="815"/>
      <c r="N303" s="664"/>
      <c r="O303" s="117"/>
      <c r="P303" s="117"/>
    </row>
    <row r="304" s="42" customFormat="true" ht="18.75" hidden="true" customHeight="true" outlineLevel="0" collapsed="false">
      <c r="A304" s="131"/>
      <c r="B304" s="131"/>
      <c r="C304" s="344" t="s">
        <v>1084</v>
      </c>
      <c r="D304" s="834"/>
      <c r="E304" s="299"/>
      <c r="F304" s="668"/>
      <c r="G304" s="757"/>
      <c r="H304" s="587"/>
      <c r="I304" s="167" t="s">
        <v>1083</v>
      </c>
      <c r="J304" s="211"/>
      <c r="K304" s="587"/>
      <c r="L304" s="810"/>
      <c r="M304" s="815"/>
      <c r="N304" s="664"/>
      <c r="O304" s="117"/>
      <c r="P304" s="117"/>
    </row>
    <row r="305" s="42" customFormat="true" ht="0.75" hidden="true" customHeight="true" outlineLevel="0" collapsed="false">
      <c r="A305" s="131"/>
      <c r="B305" s="131"/>
      <c r="C305" s="344" t="s">
        <v>1091</v>
      </c>
      <c r="D305" s="834"/>
      <c r="E305" s="299"/>
      <c r="F305" s="668"/>
      <c r="G305" s="833"/>
      <c r="H305" s="587"/>
      <c r="I305" s="167"/>
      <c r="J305" s="211"/>
      <c r="K305" s="587"/>
      <c r="L305" s="810"/>
      <c r="M305" s="815"/>
      <c r="N305" s="664"/>
      <c r="O305" s="117"/>
      <c r="P305" s="117"/>
    </row>
    <row r="306" s="42" customFormat="true" ht="18.75" hidden="true" customHeight="true" outlineLevel="0" collapsed="false">
      <c r="A306" s="131" t="s">
        <v>281</v>
      </c>
      <c r="B306" s="131" t="s">
        <v>282</v>
      </c>
      <c r="C306" s="344"/>
      <c r="D306" s="834"/>
      <c r="E306" s="299"/>
      <c r="F306" s="668" t="str">
        <f aca="false">INDEX(PT_DIFFERENTIATION_VTAR,MATCH(A306,PT_DIFFERENTIATION_VTAR_ID,0))</f>
        <v>Тариф на водоотведение</v>
      </c>
      <c r="G306" s="757" t="str">
        <f aca="false">INDEX(PT_DIFFERENTIATION_NTAR,MATCH(B306,PT_DIFFERENTIATION_NTAR_ID,0))</f>
        <v/>
      </c>
      <c r="H306" s="361"/>
      <c r="I306" s="822"/>
      <c r="J306" s="823"/>
      <c r="K306" s="374"/>
      <c r="L306" s="361" t="s">
        <v>322</v>
      </c>
      <c r="M306" s="815"/>
      <c r="N306" s="664"/>
      <c r="O306" s="117"/>
      <c r="P306" s="117"/>
    </row>
    <row r="307" s="42" customFormat="true" ht="18.75" hidden="true" customHeight="true" outlineLevel="0" collapsed="false">
      <c r="A307" s="131"/>
      <c r="B307" s="131"/>
      <c r="C307" s="344" t="s">
        <v>1084</v>
      </c>
      <c r="D307" s="834"/>
      <c r="E307" s="299"/>
      <c r="F307" s="668"/>
      <c r="G307" s="757"/>
      <c r="H307" s="587"/>
      <c r="I307" s="167" t="s">
        <v>1083</v>
      </c>
      <c r="J307" s="211"/>
      <c r="K307" s="587"/>
      <c r="L307" s="810"/>
      <c r="M307" s="815"/>
      <c r="N307" s="664"/>
      <c r="O307" s="117"/>
      <c r="P307" s="117"/>
    </row>
    <row r="308" s="42" customFormat="true" ht="0.75" hidden="true" customHeight="true" outlineLevel="0" collapsed="false">
      <c r="A308" s="131"/>
      <c r="B308" s="131"/>
      <c r="C308" s="344" t="s">
        <v>1091</v>
      </c>
      <c r="D308" s="834"/>
      <c r="E308" s="299"/>
      <c r="F308" s="668"/>
      <c r="G308" s="833"/>
      <c r="H308" s="587"/>
      <c r="I308" s="167"/>
      <c r="J308" s="211"/>
      <c r="K308" s="587"/>
      <c r="L308" s="810"/>
      <c r="M308" s="815"/>
      <c r="N308" s="664"/>
      <c r="O308" s="117"/>
      <c r="P308" s="117"/>
    </row>
    <row r="309" s="42" customFormat="true" ht="18.75" hidden="true" customHeight="true" outlineLevel="0" collapsed="false">
      <c r="A309" s="131" t="s">
        <v>286</v>
      </c>
      <c r="B309" s="131" t="s">
        <v>287</v>
      </c>
      <c r="C309" s="344"/>
      <c r="D309" s="834"/>
      <c r="E309" s="299"/>
      <c r="F309" s="668" t="str">
        <f aca="false">INDEX(PT_DIFFERENTIATION_VTAR,MATCH(A309,PT_DIFFERENTIATION_VTAR_ID,0))</f>
        <v>Тариф на транспортировку сточных вод</v>
      </c>
      <c r="G309" s="757" t="str">
        <f aca="false">INDEX(PT_DIFFERENTIATION_NTAR,MATCH(B309,PT_DIFFERENTIATION_NTAR_ID,0))</f>
        <v/>
      </c>
      <c r="H309" s="361"/>
      <c r="I309" s="822"/>
      <c r="J309" s="823"/>
      <c r="K309" s="374"/>
      <c r="L309" s="361" t="s">
        <v>322</v>
      </c>
      <c r="M309" s="815"/>
      <c r="N309" s="664"/>
      <c r="O309" s="117"/>
      <c r="P309" s="117"/>
    </row>
    <row r="310" s="42" customFormat="true" ht="18.75" hidden="true" customHeight="true" outlineLevel="0" collapsed="false">
      <c r="A310" s="131"/>
      <c r="B310" s="131"/>
      <c r="C310" s="344" t="s">
        <v>1084</v>
      </c>
      <c r="D310" s="834"/>
      <c r="E310" s="299"/>
      <c r="F310" s="668"/>
      <c r="G310" s="757"/>
      <c r="H310" s="587"/>
      <c r="I310" s="167" t="s">
        <v>1083</v>
      </c>
      <c r="J310" s="211"/>
      <c r="K310" s="587"/>
      <c r="L310" s="810"/>
      <c r="M310" s="815"/>
      <c r="N310" s="664"/>
      <c r="O310" s="117"/>
      <c r="P310" s="117"/>
    </row>
    <row r="311" s="42" customFormat="true" ht="0.75" hidden="true" customHeight="true" outlineLevel="0" collapsed="false">
      <c r="A311" s="131"/>
      <c r="B311" s="131"/>
      <c r="C311" s="344" t="s">
        <v>1091</v>
      </c>
      <c r="D311" s="834"/>
      <c r="E311" s="299"/>
      <c r="F311" s="668"/>
      <c r="G311" s="833"/>
      <c r="H311" s="587"/>
      <c r="I311" s="167"/>
      <c r="J311" s="211"/>
      <c r="K311" s="587"/>
      <c r="L311" s="810"/>
      <c r="M311" s="815"/>
      <c r="N311" s="664"/>
      <c r="O311" s="117"/>
      <c r="P311" s="117"/>
    </row>
    <row r="312" s="42" customFormat="true" ht="18.75" hidden="true" customHeight="true" outlineLevel="0" collapsed="false">
      <c r="A312" s="131" t="s">
        <v>291</v>
      </c>
      <c r="B312" s="131" t="s">
        <v>292</v>
      </c>
      <c r="C312" s="344"/>
      <c r="D312" s="834"/>
      <c r="E312" s="299"/>
      <c r="F312" s="668" t="str">
        <f aca="false">INDEX(PT_DIFFERENTIATION_VTAR,MATCH(A312,PT_DIFFERENTIATION_VTAR_ID,0))</f>
        <v>Тариф на подключение (технологическое присоединение) к централизованной системе водоотведения</v>
      </c>
      <c r="G312" s="757" t="str">
        <f aca="false">INDEX(PT_DIFFERENTIATION_NTAR,MATCH(B312,PT_DIFFERENTIATION_NTAR_ID,0))</f>
        <v/>
      </c>
      <c r="H312" s="361"/>
      <c r="I312" s="822"/>
      <c r="J312" s="823"/>
      <c r="K312" s="374"/>
      <c r="L312" s="361" t="s">
        <v>322</v>
      </c>
      <c r="M312" s="815"/>
      <c r="N312" s="664"/>
      <c r="O312" s="117"/>
      <c r="P312" s="117"/>
    </row>
    <row r="313" s="42" customFormat="true" ht="18.75" hidden="true" customHeight="true" outlineLevel="0" collapsed="false">
      <c r="A313" s="131"/>
      <c r="B313" s="131"/>
      <c r="C313" s="344" t="s">
        <v>1084</v>
      </c>
      <c r="D313" s="834"/>
      <c r="E313" s="299"/>
      <c r="F313" s="668"/>
      <c r="G313" s="757"/>
      <c r="H313" s="587"/>
      <c r="I313" s="167" t="s">
        <v>1083</v>
      </c>
      <c r="J313" s="211"/>
      <c r="K313" s="587"/>
      <c r="L313" s="810"/>
      <c r="M313" s="815"/>
      <c r="N313" s="664"/>
      <c r="O313" s="117"/>
      <c r="P313" s="117"/>
    </row>
    <row r="314" s="42" customFormat="true" ht="0.75" hidden="false" customHeight="true" outlineLevel="0" collapsed="false">
      <c r="A314" s="131"/>
      <c r="B314" s="131"/>
      <c r="C314" s="344" t="s">
        <v>1091</v>
      </c>
      <c r="D314" s="834"/>
      <c r="E314" s="299"/>
      <c r="F314" s="668"/>
      <c r="G314" s="833"/>
      <c r="H314" s="587"/>
      <c r="I314" s="167"/>
      <c r="J314" s="211"/>
      <c r="K314" s="587"/>
      <c r="L314" s="810"/>
      <c r="M314" s="815"/>
      <c r="N314" s="664"/>
      <c r="O314" s="117"/>
      <c r="P314" s="117"/>
    </row>
    <row r="315" s="131" customFormat="true" ht="3" hidden="false" customHeight="true" outlineLevel="0" collapsed="false">
      <c r="E315" s="839"/>
      <c r="F315" s="839"/>
      <c r="G315" s="839"/>
      <c r="H315" s="839"/>
      <c r="I315" s="839"/>
      <c r="J315" s="839"/>
      <c r="K315" s="839"/>
      <c r="L315" s="839"/>
      <c r="M315" s="839"/>
      <c r="O315" s="155"/>
      <c r="P315" s="155"/>
    </row>
    <row r="316" customFormat="false" ht="24.75" hidden="false" customHeight="true" outlineLevel="0" collapsed="false">
      <c r="E316" s="840"/>
      <c r="F316" s="491"/>
      <c r="G316" s="491"/>
      <c r="H316" s="491"/>
      <c r="I316" s="491"/>
      <c r="J316" s="491"/>
      <c r="K316" s="491"/>
      <c r="L316" s="491"/>
      <c r="M316" s="491"/>
    </row>
  </sheetData>
  <mergeCells count="40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0"/>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F81:L81"/>
    <mergeCell ref="H82:I82"/>
    <mergeCell ref="F83:L83"/>
    <mergeCell ref="D84:D86"/>
    <mergeCell ref="E84:E86"/>
    <mergeCell ref="F84:F86"/>
    <mergeCell ref="G84:G85"/>
    <mergeCell ref="M84:M87"/>
    <mergeCell ref="D87:D89"/>
    <mergeCell ref="E87:E89"/>
    <mergeCell ref="F87:F89"/>
    <mergeCell ref="G87:G88"/>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F141:L141"/>
    <mergeCell ref="D142:D144"/>
    <mergeCell ref="E142:E144"/>
    <mergeCell ref="F142:F144"/>
    <mergeCell ref="G142:G143"/>
    <mergeCell ref="M142:M145"/>
    <mergeCell ref="D145:D147"/>
    <mergeCell ref="E145:E147"/>
    <mergeCell ref="F145:F147"/>
    <mergeCell ref="G145:G146"/>
    <mergeCell ref="D148:D150"/>
    <mergeCell ref="E148:E150"/>
    <mergeCell ref="F148:F150"/>
    <mergeCell ref="G148:G149"/>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F199:L199"/>
    <mergeCell ref="D200:D202"/>
    <mergeCell ref="E200:E202"/>
    <mergeCell ref="F200:F202"/>
    <mergeCell ref="G200:G201"/>
    <mergeCell ref="M200:M203"/>
    <mergeCell ref="D203:D205"/>
    <mergeCell ref="E203:E205"/>
    <mergeCell ref="F203:F205"/>
    <mergeCell ref="G203:G204"/>
    <mergeCell ref="D206:D208"/>
    <mergeCell ref="E206:E208"/>
    <mergeCell ref="F206:F208"/>
    <mergeCell ref="G206:G207"/>
    <mergeCell ref="D209:D211"/>
    <mergeCell ref="E209:E211"/>
    <mergeCell ref="F209:F211"/>
    <mergeCell ref="G209:G210"/>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F257:L257"/>
    <mergeCell ref="D258:D260"/>
    <mergeCell ref="E258:E260"/>
    <mergeCell ref="F258:F260"/>
    <mergeCell ref="G258:G259"/>
    <mergeCell ref="M258:M261"/>
    <mergeCell ref="D261:D263"/>
    <mergeCell ref="E261:E263"/>
    <mergeCell ref="F261:F263"/>
    <mergeCell ref="G261:G262"/>
    <mergeCell ref="D264:D266"/>
    <mergeCell ref="E264:E266"/>
    <mergeCell ref="F264:F266"/>
    <mergeCell ref="G264:G265"/>
    <mergeCell ref="D267:D269"/>
    <mergeCell ref="E267:E269"/>
    <mergeCell ref="F267:F269"/>
    <mergeCell ref="G267:G268"/>
    <mergeCell ref="D270:D272"/>
    <mergeCell ref="E270:E272"/>
    <mergeCell ref="F270:F272"/>
    <mergeCell ref="G270:G271"/>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F316:M316"/>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4:J84 I87:J87 I90:J90 I93:J93 I96:J96 I99:J99 I102:J102 I105:J105 I108:J108 I111:J111 I114:J114 I117:J117 I120:J120 I123:J123 I126:J126 I129:J129 I132:J132 I135:J135 I138:J138 I142:J142 I145:J145 I148:J148 I151:J151 I154:J154 I157:J157 I160:J160 I163:J163 I166:J166 I169:J169 I172:J172 I175:J175 I178:J178 I181:J181 I184:J184 I187:J187 I190:J190 I193:J193 I196:J196 I200:J200 I203:J203 I206:J206 I209:J209 I212:J212 I215:J215 I218:J218 I221:J221 I224:J224 I227:J227 I230:J230 I233:J233 I236:J236 I239:J239 I242:J242 I245:J245 I248:J248 I251:J251 I254:J254 I258:J258 I261:J261 I264:J264 I267:J267 I270:J270 I273:J273 I276:J276 I279:J279 I282:J282 I285:J285 I288:J288 I291:J291 I294:J294 I297:J297 I300:J300 I303:J303 I306:J306 I309:J309 I312:J312"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4 K87 K90 K93 K96 K99 K102 K105 K108 K111 K114 K117 K120 K123 K126 K129 K132 K135 K138 K142 K145 K148 K151 K154 K157 K160 K163 K166 K169 K172 K175 K178 K181 K184 K187 K190 K193 K196 K200 K203 K206 K209 K212 K215 K218 K221 K224 K227 K230 K233 K236 K239 K242 K245 K248 K251 K254 K258 K261 K264 K267 K270 K273 K276 K279 K282 K285 K288 K291 K294 K297 K300 K303 K306 K309 K312" type="decimal">
      <formula1>-9.99999999999999E+023</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M23 M84:M85 M142:M143 M200:M201 M258:M259"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82"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Q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50" width="9.14"/>
    <col collapsed="false" customWidth="true" hidden="true" outlineLevel="0" max="2" min="2" style="45" width="9.14"/>
    <col collapsed="false" customWidth="true" hidden="false" outlineLevel="0" max="3" min="3" style="414" width="3.71"/>
    <col collapsed="false" customWidth="true" hidden="false" outlineLevel="0" max="4" min="4" style="42" width="6.28"/>
    <col collapsed="false" customWidth="true" hidden="false" outlineLevel="0" max="5" min="5" style="42" width="53.85"/>
    <col collapsed="false" customWidth="true" hidden="false" outlineLevel="0" max="7" min="6" style="42" width="35.71"/>
    <col collapsed="false" customWidth="true" hidden="false" outlineLevel="0" max="8" min="8" style="42" width="89.57"/>
    <col collapsed="false" customWidth="false" hidden="false" outlineLevel="0" max="9" min="9" style="42" width="10.57"/>
    <col collapsed="false" customWidth="false" hidden="false" outlineLevel="0" max="11" min="10" style="117" width="10.57"/>
    <col collapsed="false" customWidth="false" hidden="false" outlineLevel="0" max="17" min="12" style="42" width="10.57"/>
  </cols>
  <sheetData>
    <row r="1" customFormat="false" ht="14.25" hidden="true" customHeight="true" outlineLevel="0" collapsed="false">
      <c r="N1" s="803"/>
      <c r="O1" s="803"/>
      <c r="Q1" s="803"/>
    </row>
    <row r="2" s="42" customFormat="true" ht="18.75" hidden="true" customHeight="true" outlineLevel="0" collapsed="false">
      <c r="A2" s="131"/>
      <c r="B2" s="45"/>
      <c r="C2" s="816" t="s">
        <v>100</v>
      </c>
      <c r="D2" s="299"/>
      <c r="E2" s="334"/>
      <c r="F2" s="817"/>
      <c r="G2" s="406"/>
      <c r="I2" s="117"/>
      <c r="J2" s="117"/>
    </row>
    <row r="3" customFormat="false" ht="14.25" hidden="true" customHeight="true" outlineLevel="0" collapsed="false"/>
    <row r="4" customFormat="false" ht="6" hidden="false" customHeight="true" outlineLevel="0" collapsed="false">
      <c r="C4" s="467"/>
      <c r="D4" s="79"/>
      <c r="E4" s="79"/>
      <c r="F4" s="79"/>
      <c r="G4" s="804"/>
      <c r="H4" s="804"/>
    </row>
    <row r="5" customFormat="false" ht="33" hidden="false" customHeight="true" outlineLevel="0" collapsed="false">
      <c r="C5" s="467"/>
      <c r="D5" s="212" t="str">
        <f aca="false">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2"/>
      <c r="F5" s="212"/>
      <c r="G5" s="212"/>
      <c r="H5" s="213"/>
    </row>
    <row r="6" s="42" customFormat="true" ht="17.25" hidden="false" customHeight="true" outlineLevel="0" collapsed="false">
      <c r="A6" s="50"/>
      <c r="B6" s="45"/>
      <c r="C6" s="467"/>
      <c r="D6" s="265" t="str">
        <f aca="false">IF(org=0,"Не определено",org)</f>
        <v>ООО "Газпром теплоэнерго Ярославль"</v>
      </c>
      <c r="E6" s="265"/>
      <c r="F6" s="265"/>
      <c r="G6" s="265"/>
      <c r="H6" s="213"/>
      <c r="J6" s="117"/>
      <c r="K6" s="117"/>
    </row>
    <row r="7" customFormat="false" ht="14.25" hidden="false" customHeight="true" outlineLevel="0" collapsed="false">
      <c r="C7" s="467"/>
      <c r="D7" s="79"/>
      <c r="E7" s="72"/>
      <c r="F7" s="72"/>
      <c r="G7" s="296"/>
      <c r="H7" s="805"/>
    </row>
    <row r="8" customFormat="false" ht="14.25" hidden="false" customHeight="true" outlineLevel="0" collapsed="false">
      <c r="C8" s="467"/>
      <c r="D8" s="394" t="s">
        <v>316</v>
      </c>
      <c r="E8" s="394"/>
      <c r="F8" s="394"/>
      <c r="G8" s="394"/>
      <c r="H8" s="806" t="s">
        <v>317</v>
      </c>
    </row>
    <row r="9" customFormat="false" ht="14.25" hidden="false" customHeight="true" outlineLevel="0" collapsed="false">
      <c r="C9" s="467"/>
      <c r="D9" s="394" t="s">
        <v>84</v>
      </c>
      <c r="E9" s="184" t="s">
        <v>318</v>
      </c>
      <c r="F9" s="184" t="s">
        <v>319</v>
      </c>
      <c r="G9" s="184" t="s">
        <v>406</v>
      </c>
      <c r="H9" s="806"/>
    </row>
    <row r="10" customFormat="false" ht="14.25" hidden="false" customHeight="true" outlineLevel="0" collapsed="false">
      <c r="A10" s="131"/>
      <c r="C10" s="467"/>
      <c r="D10" s="299" t="s">
        <v>117</v>
      </c>
      <c r="E10" s="841"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817"/>
      <c r="G10" s="406"/>
      <c r="H10" s="842" t="s">
        <v>1092</v>
      </c>
    </row>
    <row r="11" customFormat="false" ht="14.25" hidden="false" customHeight="true" outlineLevel="0" collapsed="false">
      <c r="A11" s="131"/>
      <c r="C11" s="467"/>
      <c r="D11" s="299" t="s">
        <v>99</v>
      </c>
      <c r="E11" s="841"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817"/>
      <c r="G11" s="406"/>
      <c r="H11" s="842"/>
    </row>
    <row r="12" customFormat="false" ht="14.25" hidden="false" customHeight="true" outlineLevel="0" collapsed="false">
      <c r="A12" s="131"/>
      <c r="C12" s="333"/>
      <c r="D12" s="299" t="s">
        <v>86</v>
      </c>
      <c r="E12" s="821" t="str">
        <f aca="false">"Сведения о планировании закупочных процедур"&amp;IF(TEMPLATE_SPHERE="TKO"," &lt;1&gt;","")</f>
        <v>Сведения о планировании закупочных процедур</v>
      </c>
      <c r="F12" s="817"/>
      <c r="G12" s="406"/>
      <c r="H12" s="843"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17"/>
      <c r="K12" s="42"/>
    </row>
    <row r="13" customFormat="false" ht="14.25" hidden="false" customHeight="true" outlineLevel="0" collapsed="false">
      <c r="A13" s="131"/>
      <c r="C13" s="333"/>
      <c r="D13" s="299" t="s">
        <v>87</v>
      </c>
      <c r="E13" s="821" t="str">
        <f aca="false">"Сведения о результатах проведения закупочных процедур"&amp;IF(TEMPLATE_SPHERE="TKO"," &lt;1&gt;","")</f>
        <v>Сведения о результатах проведения закупочных процедур</v>
      </c>
      <c r="F13" s="817"/>
      <c r="G13" s="406"/>
      <c r="H13" s="843"/>
      <c r="I13" s="117"/>
      <c r="K13" s="42"/>
    </row>
    <row r="14" customFormat="false" ht="14.25" hidden="false" customHeight="true" outlineLevel="0" collapsed="false">
      <c r="A14" s="131"/>
      <c r="C14" s="467"/>
      <c r="D14" s="735"/>
      <c r="E14" s="167" t="s">
        <v>338</v>
      </c>
      <c r="F14" s="211"/>
      <c r="G14" s="810"/>
      <c r="H14" s="843"/>
    </row>
    <row r="15" s="42" customFormat="true" ht="14.25" hidden="false" customHeight="true" outlineLevel="0" collapsed="false">
      <c r="A15" s="131"/>
      <c r="B15" s="45"/>
      <c r="C15" s="467"/>
      <c r="D15" s="658"/>
      <c r="E15" s="844"/>
      <c r="F15" s="845"/>
      <c r="G15" s="846"/>
      <c r="H15" s="847"/>
      <c r="J15" s="117"/>
      <c r="K15" s="117"/>
    </row>
    <row r="16" customFormat="false" ht="14.25" hidden="false" customHeight="true" outlineLevel="0" collapsed="false">
      <c r="D16" s="412"/>
      <c r="E16" s="491"/>
      <c r="F16" s="491"/>
      <c r="G16" s="491"/>
      <c r="H16" s="491"/>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U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5" zeroHeight="false" outlineLevelRow="0" outlineLevelCol="0"/>
  <cols>
    <col collapsed="false" customWidth="true" hidden="true" outlineLevel="0" max="1" min="1" style="45" width="9.14"/>
    <col collapsed="false" customWidth="true" hidden="true" outlineLevel="0" max="2" min="2" style="42" width="9.14"/>
    <col collapsed="false" customWidth="true" hidden="false" outlineLevel="0" max="3" min="3" style="137" width="4.71"/>
    <col collapsed="false" customWidth="true" hidden="false" outlineLevel="0" max="4" min="4" style="42" width="6.28"/>
    <col collapsed="false" customWidth="true" hidden="false" outlineLevel="0" max="5" min="5" style="42" width="47.85"/>
    <col collapsed="false" customWidth="true" hidden="false" outlineLevel="0" max="6" min="6" style="42" width="9.57"/>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4"/>
    <col collapsed="false" customWidth="true" hidden="false" outlineLevel="0" max="11" min="11" style="45" width="50.85"/>
    <col collapsed="false" customWidth="false" hidden="false" outlineLevel="0" max="20" min="12" style="42" width="10.57"/>
    <col collapsed="false" customWidth="false" hidden="false" outlineLevel="0" max="21" min="21" style="103" width="10.57"/>
  </cols>
  <sheetData>
    <row r="1" s="45" customFormat="true" ht="15" hidden="true" customHeight="true" outlineLevel="0" collapsed="false">
      <c r="C1" s="44"/>
      <c r="G1" s="45" t="n">
        <v>4</v>
      </c>
      <c r="I1" s="45" t="n">
        <v>4</v>
      </c>
      <c r="U1" s="154"/>
    </row>
    <row r="2" s="42" customFormat="true" ht="15" hidden="true" customHeight="true" outlineLevel="0" collapsed="false">
      <c r="A2" s="45"/>
      <c r="C2" s="137"/>
      <c r="D2" s="113"/>
      <c r="E2" s="279"/>
      <c r="F2" s="43"/>
      <c r="G2" s="130"/>
      <c r="H2" s="130"/>
      <c r="I2" s="130"/>
      <c r="J2" s="130"/>
      <c r="U2" s="103"/>
    </row>
    <row r="3" s="45" customFormat="true" ht="15" hidden="true" customHeight="true" outlineLevel="0" collapsed="false">
      <c r="C3" s="44"/>
      <c r="U3" s="154"/>
    </row>
    <row r="5" customFormat="false" ht="63" hidden="false" customHeight="true" outlineLevel="0" collapsed="false">
      <c r="D5" s="212" t="s">
        <v>1093</v>
      </c>
      <c r="E5" s="212"/>
      <c r="F5" s="212"/>
      <c r="G5" s="212"/>
      <c r="H5" s="212"/>
      <c r="I5" s="212"/>
      <c r="J5" s="212"/>
    </row>
    <row r="6" customFormat="false" ht="15" hidden="false" customHeight="true" outlineLevel="0" collapsed="false">
      <c r="D6" s="265" t="str">
        <f aca="false">IF(org=0,"Не определено",org)</f>
        <v>ООО "Газпром теплоэнерго Ярославль"</v>
      </c>
      <c r="E6" s="265"/>
      <c r="F6" s="265"/>
      <c r="G6" s="265"/>
      <c r="H6" s="265"/>
      <c r="I6" s="265"/>
      <c r="J6" s="265"/>
    </row>
    <row r="7" customFormat="false" ht="15" hidden="false" customHeight="true" outlineLevel="0" collapsed="false">
      <c r="D7" s="296"/>
      <c r="G7" s="45" t="n">
        <v>22</v>
      </c>
      <c r="I7" s="45" t="n">
        <v>1</v>
      </c>
      <c r="J7" s="296"/>
    </row>
    <row r="8" s="42" customFormat="true" ht="0.75" hidden="false" customHeight="true" outlineLevel="0" collapsed="false">
      <c r="A8" s="45"/>
      <c r="C8" s="137"/>
      <c r="G8" s="45"/>
      <c r="H8" s="296"/>
      <c r="I8" s="45" t="s">
        <v>124</v>
      </c>
      <c r="J8" s="296"/>
      <c r="K8" s="45"/>
      <c r="U8" s="103"/>
    </row>
    <row r="9" customFormat="false" ht="15" hidden="false" customHeight="true" outlineLevel="0" collapsed="false">
      <c r="D9" s="604"/>
      <c r="E9" s="605" t="s">
        <v>113</v>
      </c>
      <c r="F9" s="605"/>
      <c r="G9" s="733" t="str">
        <f aca="false">IF(G8="","",INDEX(DIFFERENTIATION_UNMERGE_VD,MATCH(G8,DIFFERENTIATION_ID_DIFF,0)))</f>
        <v/>
      </c>
      <c r="H9" s="733"/>
      <c r="I9" s="733" t="n">
        <f aca="false">IF(I8="","",INDEX(DIFFERENTIATION_UNMERGE_VD,MATCH(I8,DIFFERENTIATION_ID_DIFF,0)))</f>
        <v>0</v>
      </c>
      <c r="J9" s="733"/>
      <c r="K9" s="133" t="s">
        <v>317</v>
      </c>
    </row>
    <row r="10" s="42" customFormat="true" ht="15" hidden="false" customHeight="true" outlineLevel="0" collapsed="false">
      <c r="A10" s="45"/>
      <c r="C10" s="137"/>
      <c r="D10" s="604"/>
      <c r="E10" s="605" t="s">
        <v>585</v>
      </c>
      <c r="F10" s="605"/>
      <c r="G10" s="733" t="str">
        <f aca="false">IF(G8="","",INDEX(DIFFERENTIATION_UNMERGE_AREA,MATCH(G8,DIFFERENTIATION_ID_DIFF,0)))</f>
        <v/>
      </c>
      <c r="H10" s="733"/>
      <c r="I10" s="733" t="str">
        <f aca="false">IF(I8="","",INDEX(DIFFERENTIATION_UNMERGE_AREA,MATCH(I8,DIFFERENTIATION_ID_DIFF,0)))</f>
        <v/>
      </c>
      <c r="J10" s="733"/>
      <c r="K10" s="133"/>
      <c r="U10" s="103"/>
    </row>
    <row r="11" s="42" customFormat="true" ht="15" hidden="false" customHeight="true" outlineLevel="0" collapsed="false">
      <c r="A11" s="45"/>
      <c r="C11" s="137"/>
      <c r="D11" s="604"/>
      <c r="E11" s="605" t="s">
        <v>586</v>
      </c>
      <c r="F11" s="605"/>
      <c r="G11" s="733" t="str">
        <f aca="false">IF(G8="","",INDEX(DIFFERENTIATION_UNMERGE_SYSTEM,MATCH(G8,DIFFERENTIATION_ID_DIFF,0)))</f>
        <v/>
      </c>
      <c r="H11" s="733"/>
      <c r="I11" s="733" t="str">
        <f aca="false">IF(I8="","",INDEX(DIFFERENTIATION_UNMERGE_SYSTEM,MATCH(I8,DIFFERENTIATION_ID_DIFF,0)))</f>
        <v>без дифференциации</v>
      </c>
      <c r="J11" s="733"/>
      <c r="K11" s="133"/>
      <c r="U11" s="103"/>
    </row>
    <row r="12" s="42" customFormat="true" ht="15" hidden="false" customHeight="true" outlineLevel="0" collapsed="false">
      <c r="A12" s="45"/>
      <c r="C12" s="137"/>
      <c r="D12" s="607" t="s">
        <v>316</v>
      </c>
      <c r="E12" s="607"/>
      <c r="F12" s="607"/>
      <c r="G12" s="608"/>
      <c r="H12" s="608"/>
      <c r="I12" s="608"/>
      <c r="J12" s="608"/>
      <c r="K12" s="133"/>
      <c r="U12" s="103"/>
    </row>
    <row r="13" customFormat="false" ht="33.75" hidden="false" customHeight="true" outlineLevel="0" collapsed="false">
      <c r="D13" s="145" t="s">
        <v>84</v>
      </c>
      <c r="E13" s="133" t="s">
        <v>318</v>
      </c>
      <c r="F13" s="145" t="s">
        <v>587</v>
      </c>
      <c r="G13" s="269" t="s">
        <v>319</v>
      </c>
      <c r="H13" s="145" t="s">
        <v>406</v>
      </c>
      <c r="I13" s="269" t="s">
        <v>319</v>
      </c>
      <c r="J13" s="145" t="s">
        <v>406</v>
      </c>
      <c r="K13" s="133"/>
    </row>
    <row r="14" customFormat="false" ht="15" hidden="true" customHeight="true" outlineLevel="0" collapsed="false">
      <c r="D14" s="188" t="s">
        <v>117</v>
      </c>
      <c r="E14" s="188" t="s">
        <v>99</v>
      </c>
      <c r="F14" s="188" t="s">
        <v>86</v>
      </c>
      <c r="G14" s="137" t="str">
        <f aca="false">G1&amp;".1"</f>
        <v>4.1</v>
      </c>
      <c r="H14" s="137"/>
      <c r="I14" s="137" t="str">
        <f aca="false">I1&amp;".1"</f>
        <v>4.1</v>
      </c>
      <c r="J14" s="137"/>
      <c r="K14" s="420"/>
    </row>
    <row r="15" customFormat="false" ht="22.5" hidden="true" customHeight="true" outlineLevel="0" collapsed="false">
      <c r="A15" s="42"/>
      <c r="C15" s="116"/>
      <c r="D15" s="145" t="n">
        <v>1</v>
      </c>
      <c r="E15" s="287" t="s">
        <v>744</v>
      </c>
      <c r="F15" s="145" t="s">
        <v>745</v>
      </c>
      <c r="G15" s="848"/>
      <c r="H15" s="848"/>
      <c r="I15" s="848"/>
      <c r="J15" s="848"/>
      <c r="K15" s="420" t="s">
        <v>746</v>
      </c>
    </row>
    <row r="16" customFormat="false" ht="22.5" hidden="true" customHeight="true" outlineLevel="0" collapsed="false">
      <c r="A16" s="42"/>
      <c r="C16" s="116"/>
      <c r="D16" s="145" t="n">
        <v>2</v>
      </c>
      <c r="E16" s="609" t="s">
        <v>747</v>
      </c>
      <c r="F16" s="145" t="s">
        <v>748</v>
      </c>
      <c r="G16" s="848"/>
      <c r="H16" s="848"/>
      <c r="I16" s="848"/>
      <c r="J16" s="848"/>
      <c r="K16" s="420" t="s">
        <v>749</v>
      </c>
    </row>
    <row r="17" customFormat="false" ht="123.75" hidden="true" customHeight="true" outlineLevel="0" collapsed="false">
      <c r="A17" s="42"/>
      <c r="C17" s="116"/>
      <c r="D17" s="145" t="n">
        <v>3</v>
      </c>
      <c r="E17" s="609" t="s">
        <v>1094</v>
      </c>
      <c r="F17" s="145" t="s">
        <v>322</v>
      </c>
      <c r="G17" s="848"/>
      <c r="H17" s="848"/>
      <c r="I17" s="848"/>
      <c r="J17" s="848"/>
      <c r="K17" s="420" t="s">
        <v>1095</v>
      </c>
    </row>
    <row r="18" customFormat="false" ht="45" hidden="false" customHeight="true" outlineLevel="0" collapsed="false">
      <c r="A18" s="42"/>
      <c r="C18" s="116"/>
      <c r="D18" s="145" t="n">
        <v>3</v>
      </c>
      <c r="E18" s="609" t="s">
        <v>750</v>
      </c>
      <c r="F18" s="145" t="s">
        <v>322</v>
      </c>
      <c r="G18" s="145" t="s">
        <v>322</v>
      </c>
      <c r="H18" s="266" t="s">
        <v>322</v>
      </c>
      <c r="I18" s="145" t="s">
        <v>322</v>
      </c>
      <c r="J18" s="266" t="s">
        <v>322</v>
      </c>
      <c r="K18" s="420" t="s">
        <v>1096</v>
      </c>
    </row>
    <row r="19" customFormat="false" ht="33.75" hidden="false" customHeight="true" outlineLevel="0" collapsed="false">
      <c r="A19" s="42"/>
      <c r="C19" s="116"/>
      <c r="D19" s="197" t="s">
        <v>340</v>
      </c>
      <c r="E19" s="557" t="s">
        <v>752</v>
      </c>
      <c r="F19" s="145" t="s">
        <v>753</v>
      </c>
      <c r="G19" s="697"/>
      <c r="H19" s="245"/>
      <c r="I19" s="697"/>
      <c r="J19" s="639"/>
      <c r="K19" s="738"/>
    </row>
    <row r="20" customFormat="false" ht="33.75" hidden="false" customHeight="true" outlineLevel="0" collapsed="false">
      <c r="A20" s="42"/>
      <c r="C20" s="116"/>
      <c r="D20" s="197" t="s">
        <v>348</v>
      </c>
      <c r="E20" s="557" t="s">
        <v>754</v>
      </c>
      <c r="F20" s="145" t="s">
        <v>755</v>
      </c>
      <c r="G20" s="697"/>
      <c r="H20" s="245"/>
      <c r="I20" s="697"/>
      <c r="J20" s="245"/>
      <c r="K20" s="738"/>
    </row>
    <row r="21" customFormat="false" ht="45" hidden="false" customHeight="true" outlineLevel="0" collapsed="false">
      <c r="A21" s="42"/>
      <c r="C21" s="116"/>
      <c r="D21" s="197" t="s">
        <v>350</v>
      </c>
      <c r="E21" s="557" t="s">
        <v>756</v>
      </c>
      <c r="F21" s="145" t="s">
        <v>592</v>
      </c>
      <c r="G21" s="698"/>
      <c r="H21" s="245"/>
      <c r="I21" s="698"/>
      <c r="J21" s="245"/>
      <c r="K21" s="738"/>
    </row>
    <row r="22" customFormat="false" ht="67.5" hidden="true" customHeight="true" outlineLevel="0" collapsed="false">
      <c r="A22" s="42"/>
      <c r="C22" s="116"/>
      <c r="D22" s="145" t="n">
        <v>5</v>
      </c>
      <c r="E22" s="609" t="s">
        <v>1097</v>
      </c>
      <c r="F22" s="145" t="s">
        <v>579</v>
      </c>
      <c r="G22" s="849"/>
      <c r="H22" s="565"/>
      <c r="I22" s="849"/>
      <c r="J22" s="565"/>
      <c r="K22" s="420" t="s">
        <v>1098</v>
      </c>
    </row>
    <row r="23" customFormat="false" ht="33.75" hidden="true" customHeight="true" outlineLevel="0" collapsed="false">
      <c r="C23" s="116"/>
      <c r="D23" s="145" t="n">
        <v>6</v>
      </c>
      <c r="E23" s="609" t="s">
        <v>1099</v>
      </c>
      <c r="F23" s="145" t="s">
        <v>1100</v>
      </c>
      <c r="G23" s="849"/>
      <c r="H23" s="849"/>
      <c r="I23" s="849"/>
      <c r="J23" s="849"/>
      <c r="K23" s="420" t="s">
        <v>1101</v>
      </c>
    </row>
    <row r="29" customFormat="false" ht="15" hidden="false" customHeight="true" outlineLevel="0" collapsed="false">
      <c r="J29" s="850"/>
    </row>
  </sheetData>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4">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1 I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type="whole">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H19:H21 J19:J21"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true" hidden="false" outlineLevel="0" max="1" min="1" style="790" width="32.57"/>
    <col collapsed="false" customWidth="true" hidden="false" outlineLevel="0" max="2" min="2" style="53" width="11"/>
    <col collapsed="false" customWidth="false" hidden="false" outlineLevel="0" max="3" min="3" style="53" width="9.14"/>
    <col collapsed="false" customWidth="true" hidden="false" outlineLevel="0" max="4" min="4" style="53" width="26.57"/>
    <col collapsed="false" customWidth="true" hidden="false" outlineLevel="0" max="5" min="5" style="131" width="27.71"/>
    <col collapsed="false" customWidth="true" hidden="false" outlineLevel="0" max="6" min="6" style="131" width="23.57"/>
    <col collapsed="false" customWidth="true" hidden="false" outlineLevel="0" max="7" min="7" style="131" width="31.42"/>
    <col collapsed="false" customWidth="true" hidden="false" outlineLevel="0" max="8" min="8" style="131" width="40.85"/>
    <col collapsed="false" customWidth="true" hidden="false" outlineLevel="0" max="9" min="9" style="131" width="14.57"/>
    <col collapsed="false" customWidth="true" hidden="false" outlineLevel="0" max="10" min="10" style="131" width="26.85"/>
    <col collapsed="false" customWidth="true" hidden="false" outlineLevel="0" max="11" min="11" style="131" width="50"/>
    <col collapsed="false" customWidth="true" hidden="false" outlineLevel="0" max="12" min="12" style="131" width="52.42"/>
    <col collapsed="false" customWidth="true" hidden="false" outlineLevel="0" max="13" min="13" style="131" width="10.71"/>
    <col collapsed="false" customWidth="true" hidden="false" outlineLevel="0" max="14" min="14" style="131" width="55.14"/>
    <col collapsed="false" customWidth="true" hidden="false" outlineLevel="0" max="15" min="15" style="131" width="31.85"/>
    <col collapsed="false" customWidth="true" hidden="false" outlineLevel="0" max="16" min="16" style="131" width="23.85"/>
    <col collapsed="false" customWidth="true" hidden="false" outlineLevel="0" max="17" min="17" style="131" width="46.57"/>
    <col collapsed="false" customWidth="true" hidden="false" outlineLevel="0" max="18" min="18" style="131" width="24"/>
    <col collapsed="false" customWidth="true" hidden="false" outlineLevel="0" max="19" min="19" style="131" width="20.57"/>
    <col collapsed="false" customWidth="true" hidden="false" outlineLevel="0" max="20" min="20" style="131" width="22"/>
    <col collapsed="false" customWidth="true" hidden="false" outlineLevel="0" max="22" min="21" style="131" width="26.42"/>
    <col collapsed="false" customWidth="true" hidden="true" outlineLevel="0" max="23" min="23" style="131" width="8.28"/>
    <col collapsed="false" customWidth="true" hidden="false" outlineLevel="0" max="24" min="24" style="131" width="59.71"/>
    <col collapsed="false" customWidth="true" hidden="false" outlineLevel="0" max="25" min="25" style="131" width="49.14"/>
    <col collapsed="false" customWidth="true" hidden="false" outlineLevel="0" max="26" min="26" style="131" width="11.14"/>
    <col collapsed="false" customWidth="true" hidden="false" outlineLevel="0" max="30" min="27" style="131" width="29"/>
    <col collapsed="false" customWidth="false" hidden="false" outlineLevel="0" max="31" min="31" style="131" width="9.14"/>
    <col collapsed="false" customWidth="true" hidden="false" outlineLevel="0" max="32" min="32" style="131" width="34.71"/>
    <col collapsed="false" customWidth="false" hidden="false" outlineLevel="0" max="33" min="33" style="131" width="9.14"/>
    <col collapsed="false" customWidth="true" hidden="false" outlineLevel="0" max="35" min="34" style="131" width="34.42"/>
    <col collapsed="false" customWidth="false" hidden="false" outlineLevel="0" max="36" min="36" style="131" width="9.14"/>
    <col collapsed="false" customWidth="true" hidden="false" outlineLevel="0" max="37" min="37" style="131" width="24.57"/>
    <col collapsed="false" customWidth="false" hidden="false" outlineLevel="0" max="38" min="38" style="131" width="9.14"/>
    <col collapsed="false" customWidth="true" hidden="false" outlineLevel="0" max="39" min="39" style="131" width="26.14"/>
    <col collapsed="false" customWidth="true" hidden="false" outlineLevel="0" max="40" min="40" style="131" width="1.71"/>
    <col collapsed="false" customWidth="false" hidden="false" outlineLevel="0" max="41" min="41" style="131" width="9.14"/>
    <col collapsed="false" customWidth="true" hidden="false" outlineLevel="0" max="43" min="42" style="131" width="47.85"/>
    <col collapsed="false" customWidth="true" hidden="false" outlineLevel="0" max="44" min="44" style="131" width="1.71"/>
    <col collapsed="false" customWidth="true" hidden="false" outlineLevel="0" max="45" min="45" style="131" width="21.42"/>
    <col collapsed="false" customWidth="true" hidden="false" outlineLevel="0" max="46" min="46" style="131" width="1.71"/>
    <col collapsed="false" customWidth="true" hidden="false" outlineLevel="0" max="47" min="47" style="131" width="31.28"/>
    <col collapsed="false" customWidth="true" hidden="false" outlineLevel="0" max="48" min="48" style="131" width="1.71"/>
    <col collapsed="false" customWidth="false" hidden="false" outlineLevel="0" max="50" min="49" style="131" width="9.14"/>
    <col collapsed="false" customWidth="true" hidden="false" outlineLevel="0" max="51" min="51" style="131" width="3.71"/>
    <col collapsed="false" customWidth="true" hidden="false" outlineLevel="0" max="52" min="52" style="131" width="60.85"/>
    <col collapsed="false" customWidth="true" hidden="false" outlineLevel="0" max="53" min="53" style="131" width="49.28"/>
    <col collapsed="false" customWidth="true" hidden="false" outlineLevel="0" max="54" min="54" style="131" width="35.14"/>
    <col collapsed="false" customWidth="false" hidden="false" outlineLevel="0" max="55" min="55" style="131" width="9.14"/>
    <col collapsed="false" customWidth="true" hidden="false" outlineLevel="0" max="56" min="56" style="131" width="1.71"/>
    <col collapsed="false" customWidth="true" hidden="false" outlineLevel="0" max="57" min="57" style="851" width="12.57"/>
    <col collapsed="false" customWidth="true" hidden="false" outlineLevel="0" max="58" min="58" style="851" width="14.28"/>
    <col collapsed="false" customWidth="true" hidden="false" outlineLevel="0" max="59" min="59" style="131" width="30.71"/>
    <col collapsed="false" customWidth="true" hidden="false" outlineLevel="0" max="60" min="60" style="222" width="40.71"/>
    <col collapsed="false" customWidth="true" hidden="false" outlineLevel="0" max="61" min="61" style="222" width="15"/>
    <col collapsed="false" customWidth="true" hidden="false" outlineLevel="0" max="62" min="62" style="222" width="40.71"/>
    <col collapsed="false" customWidth="true" hidden="false" outlineLevel="0" max="63" min="63" style="222" width="2.71"/>
    <col collapsed="false" customWidth="true" hidden="false" outlineLevel="0" max="64" min="64" style="222" width="44.71"/>
    <col collapsed="false" customWidth="true" hidden="false" outlineLevel="0" max="65" min="65" style="222" width="2.71"/>
    <col collapsed="false" customWidth="true" hidden="false" outlineLevel="0" max="66" min="66" style="222" width="40.71"/>
    <col collapsed="false" customWidth="false" hidden="false" outlineLevel="0" max="68" min="67" style="131" width="9.14"/>
    <col collapsed="false" customWidth="true" hidden="false" outlineLevel="0" max="69" min="69" style="131" width="18.14"/>
    <col collapsed="false" customWidth="true" hidden="false" outlineLevel="0" max="70" min="70" style="131" width="57.85"/>
    <col collapsed="false" customWidth="true" hidden="false" outlineLevel="0" max="71" min="71" style="131" width="1.71"/>
    <col collapsed="false" customWidth="true" hidden="false" outlineLevel="0" max="72" min="72" style="131" width="22.57"/>
    <col collapsed="false" customWidth="true" hidden="false" outlineLevel="0" max="73" min="73" style="131" width="57.85"/>
    <col collapsed="false" customWidth="true" hidden="false" outlineLevel="0" max="74" min="74" style="131" width="1.71"/>
    <col collapsed="false" customWidth="true" hidden="false" outlineLevel="0" max="75" min="75" style="131" width="22.57"/>
    <col collapsed="false" customWidth="true" hidden="false" outlineLevel="0" max="76" min="76" style="131" width="57.85"/>
    <col collapsed="false" customWidth="true" hidden="false" outlineLevel="0" max="77" min="77" style="131" width="1.71"/>
    <col collapsed="false" customWidth="true" hidden="false" outlineLevel="0" max="78" min="78" style="131" width="22.57"/>
    <col collapsed="false" customWidth="true" hidden="false" outlineLevel="0" max="79" min="79" style="131" width="57.85"/>
    <col collapsed="false" customWidth="false" hidden="false" outlineLevel="0" max="81" min="80" style="131" width="9.14"/>
    <col collapsed="false" customWidth="true" hidden="false" outlineLevel="0" max="82" min="82" style="131" width="49.57"/>
  </cols>
  <sheetData>
    <row r="1" s="855" customFormat="true" ht="11.25" hidden="false" customHeight="true" outlineLevel="0" collapsed="false">
      <c r="A1" s="852" t="s">
        <v>1102</v>
      </c>
      <c r="B1" s="852" t="s">
        <v>1103</v>
      </c>
      <c r="C1" s="852" t="s">
        <v>1104</v>
      </c>
      <c r="D1" s="852" t="s">
        <v>1105</v>
      </c>
      <c r="E1" s="853" t="s">
        <v>1106</v>
      </c>
      <c r="F1" s="853" t="s">
        <v>1107</v>
      </c>
      <c r="G1" s="853" t="s">
        <v>1108</v>
      </c>
      <c r="H1" s="853" t="s">
        <v>1109</v>
      </c>
      <c r="I1" s="853" t="s">
        <v>1110</v>
      </c>
      <c r="J1" s="853" t="s">
        <v>1111</v>
      </c>
      <c r="K1" s="853" t="s">
        <v>1112</v>
      </c>
      <c r="L1" s="852" t="s">
        <v>1113</v>
      </c>
      <c r="M1" s="852"/>
      <c r="N1" s="852" t="s">
        <v>1114</v>
      </c>
      <c r="O1" s="853" t="s">
        <v>1115</v>
      </c>
      <c r="P1" s="853" t="s">
        <v>1116</v>
      </c>
      <c r="Q1" s="853" t="s">
        <v>1117</v>
      </c>
      <c r="R1" s="853" t="s">
        <v>1118</v>
      </c>
      <c r="S1" s="853" t="s">
        <v>1119</v>
      </c>
      <c r="T1" s="853" t="s">
        <v>1120</v>
      </c>
      <c r="U1" s="853" t="s">
        <v>1121</v>
      </c>
      <c r="V1" s="852"/>
      <c r="W1" s="854" t="s">
        <v>1122</v>
      </c>
      <c r="X1" s="853" t="s">
        <v>1123</v>
      </c>
      <c r="Y1" s="852" t="s">
        <v>1124</v>
      </c>
      <c r="Z1" s="852"/>
      <c r="AA1" s="852" t="s">
        <v>1125</v>
      </c>
      <c r="AB1" s="852"/>
      <c r="AC1" s="852" t="s">
        <v>1126</v>
      </c>
      <c r="AD1" s="852"/>
      <c r="AF1" s="853" t="s">
        <v>1127</v>
      </c>
      <c r="AH1" s="853" t="s">
        <v>1128</v>
      </c>
      <c r="AI1" s="853" t="s">
        <v>1129</v>
      </c>
      <c r="AK1" s="853" t="s">
        <v>1130</v>
      </c>
      <c r="AM1" s="853" t="s">
        <v>1131</v>
      </c>
      <c r="AP1" s="853" t="s">
        <v>1132</v>
      </c>
      <c r="AQ1" s="853" t="s">
        <v>1133</v>
      </c>
      <c r="AS1" s="853" t="s">
        <v>1134</v>
      </c>
      <c r="AU1" s="853" t="s">
        <v>1135</v>
      </c>
      <c r="AW1" s="852" t="s">
        <v>1136</v>
      </c>
      <c r="AX1" s="852" t="s">
        <v>1137</v>
      </c>
      <c r="AZ1" s="853" t="s">
        <v>1138</v>
      </c>
      <c r="BB1" s="853" t="s">
        <v>1139</v>
      </c>
      <c r="BC1" s="852"/>
      <c r="BE1" s="852" t="s">
        <v>1140</v>
      </c>
      <c r="BF1" s="852" t="s">
        <v>1141</v>
      </c>
      <c r="BH1" s="856" t="s">
        <v>743</v>
      </c>
      <c r="BI1" s="222"/>
      <c r="BJ1" s="857" t="s">
        <v>1142</v>
      </c>
      <c r="BK1" s="222"/>
      <c r="BL1" s="858" t="s">
        <v>844</v>
      </c>
      <c r="BM1" s="222"/>
      <c r="BN1" s="859" t="s">
        <v>1143</v>
      </c>
    </row>
    <row r="2" customFormat="false" ht="11.25" hidden="false" customHeight="true" outlineLevel="0" collapsed="false">
      <c r="A2" s="131" t="s">
        <v>1144</v>
      </c>
      <c r="B2" s="860" t="n">
        <v>2000</v>
      </c>
      <c r="C2" s="860" t="n">
        <v>2022</v>
      </c>
      <c r="D2" s="860" t="s">
        <v>63</v>
      </c>
      <c r="E2" s="861" t="s">
        <v>1145</v>
      </c>
      <c r="F2" s="861" t="s">
        <v>1146</v>
      </c>
      <c r="G2" s="861" t="s">
        <v>1147</v>
      </c>
      <c r="H2" s="861" t="s">
        <v>51</v>
      </c>
      <c r="I2" s="861" t="s">
        <v>117</v>
      </c>
      <c r="J2" s="861" t="s">
        <v>1148</v>
      </c>
      <c r="K2" s="862" t="s">
        <v>1149</v>
      </c>
      <c r="L2" s="862"/>
      <c r="M2" s="862" t="n">
        <v>1</v>
      </c>
      <c r="N2" s="863" t="s">
        <v>1150</v>
      </c>
      <c r="O2" s="861" t="s">
        <v>1151</v>
      </c>
      <c r="P2" s="864" t="s">
        <v>32</v>
      </c>
      <c r="Q2" s="865" t="s">
        <v>557</v>
      </c>
      <c r="R2" s="866" t="s">
        <v>1152</v>
      </c>
      <c r="S2" s="866" t="s">
        <v>1153</v>
      </c>
      <c r="T2" s="867" t="s">
        <v>1154</v>
      </c>
      <c r="U2" s="862" t="s">
        <v>1155</v>
      </c>
      <c r="V2" s="868" t="n">
        <v>1</v>
      </c>
      <c r="W2" s="869"/>
      <c r="X2" s="869" t="s">
        <v>1156</v>
      </c>
      <c r="Y2" s="860" t="s">
        <v>1157</v>
      </c>
      <c r="Z2" s="870"/>
      <c r="AA2" s="860" t="s">
        <v>1158</v>
      </c>
      <c r="AB2" s="871" t="s">
        <v>1158</v>
      </c>
      <c r="AC2" s="860" t="s">
        <v>1159</v>
      </c>
      <c r="AD2" s="871" t="s">
        <v>1159</v>
      </c>
      <c r="AF2" s="861" t="s">
        <v>1155</v>
      </c>
      <c r="AH2" s="861" t="s">
        <v>1160</v>
      </c>
      <c r="AI2" s="861" t="s">
        <v>1160</v>
      </c>
      <c r="AK2" s="861" t="s">
        <v>1161</v>
      </c>
      <c r="AM2" s="861" t="s">
        <v>1162</v>
      </c>
      <c r="AP2" s="666" t="s">
        <v>1156</v>
      </c>
      <c r="AQ2" s="872" t="s">
        <v>1156</v>
      </c>
      <c r="AS2" s="860" t="s">
        <v>1163</v>
      </c>
      <c r="AU2" s="873" t="s">
        <v>1164</v>
      </c>
      <c r="AW2" s="873" t="s">
        <v>1165</v>
      </c>
      <c r="AX2" s="873" t="s">
        <v>1165</v>
      </c>
      <c r="AZ2" s="873" t="s">
        <v>1166</v>
      </c>
      <c r="BB2" s="873" t="s">
        <v>1167</v>
      </c>
      <c r="BC2" s="873" t="s">
        <v>1168</v>
      </c>
      <c r="BE2" s="873" t="n">
        <v>2000</v>
      </c>
      <c r="BF2" s="873" t="s">
        <v>1169</v>
      </c>
    </row>
    <row r="3" customFormat="false" ht="11.25" hidden="false" customHeight="true" outlineLevel="0" collapsed="false">
      <c r="A3" s="131" t="s">
        <v>1170</v>
      </c>
      <c r="B3" s="860" t="n">
        <v>2001</v>
      </c>
      <c r="C3" s="860" t="n">
        <v>2023</v>
      </c>
      <c r="D3" s="860" t="s">
        <v>53</v>
      </c>
      <c r="E3" s="861" t="s">
        <v>1171</v>
      </c>
      <c r="F3" s="861" t="s">
        <v>1172</v>
      </c>
      <c r="G3" s="861" t="s">
        <v>1173</v>
      </c>
      <c r="H3" s="861" t="s">
        <v>1174</v>
      </c>
      <c r="I3" s="861" t="s">
        <v>99</v>
      </c>
      <c r="J3" s="861" t="s">
        <v>577</v>
      </c>
      <c r="K3" s="862" t="s">
        <v>1175</v>
      </c>
      <c r="L3" s="862" t="n">
        <f aca="false">_xlfn.iferror(MATCH(K3,OFFER_METHOD,0),0)</f>
        <v>0</v>
      </c>
      <c r="M3" s="862" t="n">
        <v>2</v>
      </c>
      <c r="N3" s="863" t="s">
        <v>1176</v>
      </c>
      <c r="O3" s="861" t="s">
        <v>1177</v>
      </c>
      <c r="P3" s="864" t="s">
        <v>1178</v>
      </c>
      <c r="Q3" s="865" t="s">
        <v>1179</v>
      </c>
      <c r="R3" s="866" t="s">
        <v>1180</v>
      </c>
      <c r="S3" s="866" t="s">
        <v>1181</v>
      </c>
      <c r="T3" s="867" t="s">
        <v>1182</v>
      </c>
      <c r="U3" s="862" t="s">
        <v>1183</v>
      </c>
      <c r="V3" s="868" t="n">
        <v>2</v>
      </c>
      <c r="W3" s="869"/>
      <c r="X3" s="869" t="s">
        <v>1184</v>
      </c>
      <c r="Y3" s="860" t="s">
        <v>1157</v>
      </c>
      <c r="Z3" s="870"/>
      <c r="AA3" s="860" t="s">
        <v>1185</v>
      </c>
      <c r="AB3" s="871" t="s">
        <v>1185</v>
      </c>
      <c r="AC3" s="860" t="s">
        <v>1186</v>
      </c>
      <c r="AD3" s="871" t="s">
        <v>1186</v>
      </c>
      <c r="AF3" s="861" t="s">
        <v>1183</v>
      </c>
      <c r="AH3" s="861" t="s">
        <v>1187</v>
      </c>
      <c r="AI3" s="861" t="s">
        <v>1188</v>
      </c>
      <c r="AK3" s="861" t="s">
        <v>1189</v>
      </c>
      <c r="AM3" s="861" t="s">
        <v>1190</v>
      </c>
      <c r="AP3" s="666" t="s">
        <v>1191</v>
      </c>
      <c r="AQ3" s="872" t="s">
        <v>1191</v>
      </c>
      <c r="AS3" s="860" t="s">
        <v>1192</v>
      </c>
      <c r="AU3" s="873" t="s">
        <v>1193</v>
      </c>
      <c r="AW3" s="873" t="s">
        <v>1194</v>
      </c>
      <c r="AX3" s="873" t="s">
        <v>1194</v>
      </c>
      <c r="AZ3" s="873" t="s">
        <v>1195</v>
      </c>
      <c r="BB3" s="873" t="s">
        <v>1196</v>
      </c>
      <c r="BC3" s="873" t="s">
        <v>1168</v>
      </c>
      <c r="BE3" s="873" t="n">
        <v>2001</v>
      </c>
      <c r="BF3" s="873" t="s">
        <v>1197</v>
      </c>
      <c r="BH3" s="852" t="s">
        <v>1198</v>
      </c>
      <c r="BJ3" s="852" t="s">
        <v>1199</v>
      </c>
      <c r="BL3" s="852" t="s">
        <v>1200</v>
      </c>
      <c r="BN3" s="852" t="s">
        <v>1201</v>
      </c>
      <c r="BR3" s="852" t="s">
        <v>1202</v>
      </c>
      <c r="BS3" s="258"/>
      <c r="BT3" s="222"/>
      <c r="BU3" s="852" t="s">
        <v>1203</v>
      </c>
      <c r="BV3" s="222"/>
      <c r="BW3" s="53"/>
      <c r="BX3" s="852" t="s">
        <v>1204</v>
      </c>
      <c r="CA3" s="852" t="s">
        <v>1205</v>
      </c>
    </row>
    <row r="4" customFormat="false" ht="11.25" hidden="false" customHeight="true" outlineLevel="0" collapsed="false">
      <c r="A4" s="131" t="s">
        <v>1206</v>
      </c>
      <c r="B4" s="860" t="n">
        <v>2002</v>
      </c>
      <c r="C4" s="860" t="n">
        <v>2024</v>
      </c>
      <c r="E4" s="861" t="s">
        <v>1207</v>
      </c>
      <c r="F4" s="861" t="s">
        <v>1208</v>
      </c>
      <c r="H4" s="861" t="s">
        <v>1209</v>
      </c>
      <c r="I4" s="861" t="s">
        <v>86</v>
      </c>
      <c r="J4" s="861" t="s">
        <v>1210</v>
      </c>
      <c r="K4" s="862" t="s">
        <v>1211</v>
      </c>
      <c r="L4" s="862" t="n">
        <f aca="false">_xlfn.iferror(MATCH(K4,OFFER_METHOD,0),0)</f>
        <v>0</v>
      </c>
      <c r="M4" s="862" t="n">
        <v>3</v>
      </c>
      <c r="N4" s="863" t="s">
        <v>1212</v>
      </c>
      <c r="O4" s="861" t="s">
        <v>1213</v>
      </c>
      <c r="Q4" s="865" t="s">
        <v>1214</v>
      </c>
      <c r="R4" s="866" t="s">
        <v>1215</v>
      </c>
      <c r="S4" s="866" t="s">
        <v>1216</v>
      </c>
      <c r="T4" s="867" t="s">
        <v>1217</v>
      </c>
      <c r="U4" s="862" t="s">
        <v>1218</v>
      </c>
      <c r="V4" s="868" t="n">
        <v>3</v>
      </c>
      <c r="W4" s="869"/>
      <c r="X4" s="869" t="s">
        <v>1219</v>
      </c>
      <c r="Y4" s="860" t="s">
        <v>1157</v>
      </c>
      <c r="Z4" s="95"/>
      <c r="AC4" s="860" t="s">
        <v>1220</v>
      </c>
      <c r="AD4" s="871" t="s">
        <v>1220</v>
      </c>
      <c r="AF4" s="861" t="s">
        <v>1218</v>
      </c>
      <c r="AH4" s="861" t="s">
        <v>1221</v>
      </c>
      <c r="AK4" s="861" t="s">
        <v>1222</v>
      </c>
      <c r="AM4" s="861" t="s">
        <v>1223</v>
      </c>
      <c r="AP4" s="666" t="s">
        <v>1184</v>
      </c>
      <c r="AQ4" s="872" t="s">
        <v>1184</v>
      </c>
      <c r="AS4" s="860" t="s">
        <v>1224</v>
      </c>
      <c r="AU4" s="873" t="s">
        <v>1225</v>
      </c>
      <c r="AW4" s="873" t="s">
        <v>1226</v>
      </c>
      <c r="AX4" s="873" t="s">
        <v>1226</v>
      </c>
      <c r="AZ4" s="873" t="s">
        <v>1227</v>
      </c>
      <c r="BB4" s="873" t="s">
        <v>1228</v>
      </c>
      <c r="BC4" s="873" t="s">
        <v>1229</v>
      </c>
      <c r="BE4" s="873" t="n">
        <v>2002</v>
      </c>
      <c r="BF4" s="873" t="s">
        <v>1230</v>
      </c>
      <c r="BH4" s="874" t="s">
        <v>1231</v>
      </c>
      <c r="BJ4" s="874" t="s">
        <v>1231</v>
      </c>
      <c r="BL4" s="874" t="s">
        <v>1231</v>
      </c>
      <c r="BN4" s="874" t="s">
        <v>1231</v>
      </c>
      <c r="BQ4" s="875" t="s">
        <v>1232</v>
      </c>
      <c r="BR4" s="666" t="s">
        <v>1233</v>
      </c>
      <c r="BS4" s="666"/>
      <c r="BT4" s="875" t="s">
        <v>1234</v>
      </c>
      <c r="BU4" s="666" t="s">
        <v>1235</v>
      </c>
      <c r="BV4" s="222"/>
      <c r="BW4" s="875" t="s">
        <v>1236</v>
      </c>
      <c r="BX4" s="666" t="s">
        <v>1237</v>
      </c>
      <c r="BZ4" s="875" t="s">
        <v>1238</v>
      </c>
      <c r="CA4" s="666" t="s">
        <v>1239</v>
      </c>
    </row>
    <row r="5" customFormat="false" ht="11.25" hidden="false" customHeight="true" outlineLevel="0" collapsed="false">
      <c r="A5" s="131" t="s">
        <v>1240</v>
      </c>
      <c r="B5" s="860" t="n">
        <v>2003</v>
      </c>
      <c r="C5" s="860" t="n">
        <v>2025</v>
      </c>
      <c r="E5" s="861" t="s">
        <v>1241</v>
      </c>
      <c r="F5" s="861" t="s">
        <v>1242</v>
      </c>
      <c r="H5" s="861" t="s">
        <v>1243</v>
      </c>
      <c r="I5" s="861" t="s">
        <v>87</v>
      </c>
      <c r="K5" s="862" t="s">
        <v>1244</v>
      </c>
      <c r="L5" s="862" t="n">
        <f aca="false">_xlfn.iferror(MATCH(K5,OFFER_METHOD,0),0)</f>
        <v>0</v>
      </c>
      <c r="M5" s="862" t="n">
        <v>4</v>
      </c>
      <c r="N5" s="876" t="s">
        <v>1245</v>
      </c>
      <c r="O5" s="861" t="s">
        <v>1246</v>
      </c>
      <c r="Q5" s="865" t="s">
        <v>1247</v>
      </c>
      <c r="R5" s="866" t="s">
        <v>1248</v>
      </c>
      <c r="T5" s="861" t="s">
        <v>1249</v>
      </c>
      <c r="U5" s="862" t="s">
        <v>1250</v>
      </c>
      <c r="V5" s="868" t="n">
        <v>4</v>
      </c>
      <c r="W5" s="869"/>
      <c r="X5" s="869" t="s">
        <v>173</v>
      </c>
      <c r="Y5" s="860" t="s">
        <v>1251</v>
      </c>
      <c r="Z5" s="95" t="n">
        <v>1</v>
      </c>
      <c r="AF5" s="861" t="s">
        <v>1252</v>
      </c>
      <c r="AH5" s="861" t="s">
        <v>1253</v>
      </c>
      <c r="AK5" s="861" t="s">
        <v>1254</v>
      </c>
      <c r="AM5" s="861" t="s">
        <v>1255</v>
      </c>
      <c r="AP5" s="666" t="s">
        <v>173</v>
      </c>
      <c r="AQ5" s="872" t="s">
        <v>173</v>
      </c>
      <c r="AU5" s="873" t="s">
        <v>1256</v>
      </c>
      <c r="AW5" s="873" t="s">
        <v>1257</v>
      </c>
      <c r="AX5" s="873" t="s">
        <v>1257</v>
      </c>
      <c r="AZ5" s="873" t="s">
        <v>1258</v>
      </c>
      <c r="BB5" s="873" t="s">
        <v>1259</v>
      </c>
      <c r="BC5" s="873" t="s">
        <v>1260</v>
      </c>
      <c r="BE5" s="873" t="n">
        <v>2003</v>
      </c>
      <c r="BF5" s="873" t="s">
        <v>1261</v>
      </c>
      <c r="BH5" s="874" t="s">
        <v>1262</v>
      </c>
      <c r="BJ5" s="874" t="s">
        <v>1262</v>
      </c>
      <c r="BL5" s="874" t="s">
        <v>1262</v>
      </c>
      <c r="BN5" s="874" t="s">
        <v>1263</v>
      </c>
      <c r="BQ5" s="873" t="n">
        <v>4213775</v>
      </c>
      <c r="BR5" s="874" t="s">
        <v>1156</v>
      </c>
      <c r="BS5" s="877"/>
      <c r="BT5" s="873" t="n">
        <v>64236871</v>
      </c>
      <c r="BU5" s="874" t="s">
        <v>234</v>
      </c>
      <c r="BV5" s="222"/>
      <c r="BW5" s="873" t="n">
        <v>4213767</v>
      </c>
      <c r="BX5" s="874" t="s">
        <v>1264</v>
      </c>
      <c r="BZ5" s="873" t="n">
        <v>64237509</v>
      </c>
      <c r="CA5" s="878" t="s">
        <v>1265</v>
      </c>
    </row>
    <row r="6" customFormat="false" ht="11.25" hidden="false" customHeight="true" outlineLevel="0" collapsed="false">
      <c r="A6" s="131" t="s">
        <v>1266</v>
      </c>
      <c r="B6" s="860" t="n">
        <v>2004</v>
      </c>
      <c r="C6" s="860" t="n">
        <v>2026</v>
      </c>
      <c r="E6" s="861" t="s">
        <v>1267</v>
      </c>
      <c r="F6" s="174"/>
      <c r="H6" s="861" t="s">
        <v>1268</v>
      </c>
      <c r="I6" s="861" t="s">
        <v>118</v>
      </c>
      <c r="J6" s="852" t="s">
        <v>1269</v>
      </c>
      <c r="L6" s="862" t="n">
        <f aca="false">SUM(kind_of_control_method_filter)</f>
        <v>0</v>
      </c>
      <c r="N6" s="876" t="s">
        <v>1270</v>
      </c>
      <c r="O6" s="861" t="s">
        <v>1271</v>
      </c>
      <c r="R6" s="866" t="s">
        <v>557</v>
      </c>
      <c r="T6" s="861" t="s">
        <v>1272</v>
      </c>
      <c r="U6" s="862" t="s">
        <v>1252</v>
      </c>
      <c r="V6" s="868" t="n">
        <v>5</v>
      </c>
      <c r="W6" s="869"/>
      <c r="X6" s="860" t="s">
        <v>179</v>
      </c>
      <c r="Y6" s="860" t="s">
        <v>1273</v>
      </c>
      <c r="Z6" s="95"/>
      <c r="AA6" s="701"/>
      <c r="AH6" s="861" t="s">
        <v>1274</v>
      </c>
      <c r="AK6" s="861" t="s">
        <v>1275</v>
      </c>
      <c r="AM6" s="861" t="s">
        <v>1276</v>
      </c>
      <c r="AP6" s="666" t="s">
        <v>179</v>
      </c>
      <c r="AQ6" s="872" t="s">
        <v>179</v>
      </c>
      <c r="AU6" s="873" t="s">
        <v>1277</v>
      </c>
      <c r="AW6" s="873" t="s">
        <v>1278</v>
      </c>
      <c r="AX6" s="873" t="s">
        <v>1278</v>
      </c>
      <c r="BB6" s="873" t="s">
        <v>1279</v>
      </c>
      <c r="BC6" s="873" t="s">
        <v>1260</v>
      </c>
      <c r="BE6" s="873" t="n">
        <v>2004</v>
      </c>
      <c r="BF6" s="873" t="s">
        <v>1280</v>
      </c>
      <c r="BH6" s="874" t="s">
        <v>1281</v>
      </c>
      <c r="BJ6" s="874" t="s">
        <v>1282</v>
      </c>
      <c r="BL6" s="874" t="s">
        <v>1282</v>
      </c>
      <c r="BN6" s="874" t="s">
        <v>1283</v>
      </c>
      <c r="BQ6" s="873" t="n">
        <v>4213784</v>
      </c>
      <c r="BR6" s="878" t="s">
        <v>1191</v>
      </c>
      <c r="BS6" s="879"/>
      <c r="BT6" s="873" t="n">
        <v>64236872</v>
      </c>
      <c r="BU6" s="874" t="s">
        <v>239</v>
      </c>
      <c r="BV6" s="222"/>
      <c r="BW6" s="873" t="n">
        <v>4213768</v>
      </c>
      <c r="BX6" s="874" t="s">
        <v>270</v>
      </c>
      <c r="BZ6" s="873" t="n">
        <v>64237510</v>
      </c>
      <c r="CA6" s="874" t="s">
        <v>1284</v>
      </c>
    </row>
    <row r="7" customFormat="false" ht="11.25" hidden="false" customHeight="true" outlineLevel="0" collapsed="false">
      <c r="A7" s="131" t="s">
        <v>1285</v>
      </c>
      <c r="B7" s="860" t="n">
        <v>2005</v>
      </c>
      <c r="E7" s="861" t="s">
        <v>1286</v>
      </c>
      <c r="F7" s="174"/>
      <c r="H7" s="861" t="s">
        <v>1287</v>
      </c>
      <c r="I7" s="861" t="s">
        <v>88</v>
      </c>
      <c r="J7" s="861" t="s">
        <v>1288</v>
      </c>
      <c r="N7" s="880" t="s">
        <v>1289</v>
      </c>
      <c r="O7" s="861" t="s">
        <v>1290</v>
      </c>
      <c r="U7" s="862" t="s">
        <v>53</v>
      </c>
      <c r="V7" s="881" t="s">
        <v>88</v>
      </c>
      <c r="W7" s="869"/>
      <c r="X7" s="860" t="s">
        <v>185</v>
      </c>
      <c r="Y7" s="860" t="s">
        <v>1251</v>
      </c>
      <c r="Z7" s="95"/>
      <c r="AA7" s="701"/>
      <c r="AH7" s="861" t="s">
        <v>1291</v>
      </c>
      <c r="AK7" s="861" t="s">
        <v>1292</v>
      </c>
      <c r="AM7" s="861" t="s">
        <v>1293</v>
      </c>
      <c r="AP7" s="666" t="s">
        <v>185</v>
      </c>
      <c r="AQ7" s="872" t="s">
        <v>185</v>
      </c>
      <c r="AU7" s="873" t="s">
        <v>1294</v>
      </c>
      <c r="AW7" s="873" t="s">
        <v>1295</v>
      </c>
      <c r="AX7" s="873" t="s">
        <v>1295</v>
      </c>
      <c r="AZ7" s="852" t="s">
        <v>1296</v>
      </c>
      <c r="BB7" s="873" t="s">
        <v>1297</v>
      </c>
      <c r="BC7" s="873" t="s">
        <v>1260</v>
      </c>
      <c r="BE7" s="873" t="n">
        <v>2005</v>
      </c>
      <c r="BF7" s="873" t="s">
        <v>1298</v>
      </c>
      <c r="BH7" s="874" t="s">
        <v>1299</v>
      </c>
      <c r="BJ7" s="874" t="s">
        <v>1281</v>
      </c>
      <c r="BL7" s="874" t="s">
        <v>1281</v>
      </c>
      <c r="BN7" s="874" t="s">
        <v>1300</v>
      </c>
      <c r="BQ7" s="873" t="n">
        <v>4213781</v>
      </c>
      <c r="BR7" s="874" t="s">
        <v>1184</v>
      </c>
      <c r="BS7" s="877"/>
      <c r="BT7" s="873" t="n">
        <v>64236873</v>
      </c>
      <c r="BU7" s="874" t="s">
        <v>244</v>
      </c>
      <c r="BV7" s="222"/>
      <c r="BW7" s="873" t="n">
        <v>4213769</v>
      </c>
      <c r="BX7" s="874" t="s">
        <v>1301</v>
      </c>
      <c r="BZ7" s="873" t="n">
        <v>64237511</v>
      </c>
      <c r="CA7" s="874" t="s">
        <v>285</v>
      </c>
    </row>
    <row r="8" customFormat="false" ht="11.25" hidden="false" customHeight="true" outlineLevel="0" collapsed="false">
      <c r="A8" s="131" t="s">
        <v>1302</v>
      </c>
      <c r="B8" s="860" t="n">
        <v>2006</v>
      </c>
      <c r="E8" s="861" t="s">
        <v>1303</v>
      </c>
      <c r="F8" s="174"/>
      <c r="H8" s="861" t="s">
        <v>1304</v>
      </c>
      <c r="I8" s="861" t="s">
        <v>89</v>
      </c>
      <c r="J8" s="861" t="s">
        <v>1305</v>
      </c>
      <c r="N8" s="882" t="s">
        <v>1306</v>
      </c>
      <c r="O8" s="861" t="s">
        <v>1307</v>
      </c>
      <c r="V8" s="881" t="s">
        <v>89</v>
      </c>
      <c r="W8" s="869"/>
      <c r="X8" s="860" t="s">
        <v>191</v>
      </c>
      <c r="Y8" s="860" t="s">
        <v>1251</v>
      </c>
      <c r="Z8" s="95"/>
      <c r="AA8" s="701"/>
      <c r="AK8" s="861" t="s">
        <v>1308</v>
      </c>
      <c r="AP8" s="666" t="s">
        <v>191</v>
      </c>
      <c r="AQ8" s="872" t="s">
        <v>191</v>
      </c>
      <c r="AU8" s="873" t="s">
        <v>1309</v>
      </c>
      <c r="AW8" s="873" t="s">
        <v>1310</v>
      </c>
      <c r="AX8" s="873" t="s">
        <v>1310</v>
      </c>
      <c r="AZ8" s="873" t="s">
        <v>1311</v>
      </c>
      <c r="BB8" s="873" t="s">
        <v>1312</v>
      </c>
      <c r="BC8" s="873" t="s">
        <v>1260</v>
      </c>
      <c r="BE8" s="873" t="n">
        <v>2006</v>
      </c>
      <c r="BF8" s="873" t="s">
        <v>1313</v>
      </c>
      <c r="BH8" s="874" t="s">
        <v>1314</v>
      </c>
      <c r="BJ8" s="874" t="s">
        <v>1315</v>
      </c>
      <c r="BL8" s="874" t="s">
        <v>1315</v>
      </c>
      <c r="BN8" s="874" t="s">
        <v>1316</v>
      </c>
      <c r="BQ8" s="873" t="n">
        <v>4213776</v>
      </c>
      <c r="BR8" s="874" t="s">
        <v>173</v>
      </c>
      <c r="BS8" s="877"/>
      <c r="BT8" s="873" t="n">
        <v>64236874</v>
      </c>
      <c r="BU8" s="878" t="s">
        <v>1317</v>
      </c>
      <c r="BV8" s="222"/>
      <c r="BW8" s="873" t="n">
        <v>4213770</v>
      </c>
      <c r="BX8" s="878" t="s">
        <v>1318</v>
      </c>
      <c r="BZ8" s="873" t="n">
        <v>64237512</v>
      </c>
      <c r="CA8" s="874" t="s">
        <v>280</v>
      </c>
    </row>
    <row r="9" customFormat="false" ht="11.25" hidden="false" customHeight="true" outlineLevel="0" collapsed="false">
      <c r="A9" s="131" t="s">
        <v>1319</v>
      </c>
      <c r="B9" s="860" t="n">
        <v>2007</v>
      </c>
      <c r="E9" s="861" t="s">
        <v>1320</v>
      </c>
      <c r="F9" s="174"/>
      <c r="G9" s="853" t="s">
        <v>1321</v>
      </c>
      <c r="H9" s="853" t="s">
        <v>1322</v>
      </c>
      <c r="I9" s="861" t="s">
        <v>119</v>
      </c>
      <c r="O9" s="861" t="s">
        <v>1323</v>
      </c>
      <c r="V9" s="881" t="s">
        <v>119</v>
      </c>
      <c r="W9" s="869"/>
      <c r="X9" s="860" t="s">
        <v>197</v>
      </c>
      <c r="Y9" s="860" t="s">
        <v>1157</v>
      </c>
      <c r="Z9" s="95" t="n">
        <v>1</v>
      </c>
      <c r="AA9" s="701"/>
      <c r="AK9" s="861" t="s">
        <v>1324</v>
      </c>
      <c r="AP9" s="666" t="s">
        <v>1325</v>
      </c>
      <c r="AQ9" s="872" t="s">
        <v>1325</v>
      </c>
      <c r="AW9" s="873" t="s">
        <v>1326</v>
      </c>
      <c r="AX9" s="873" t="s">
        <v>1326</v>
      </c>
      <c r="AZ9" s="873" t="s">
        <v>1327</v>
      </c>
      <c r="BB9" s="873" t="s">
        <v>1328</v>
      </c>
      <c r="BC9" s="873" t="s">
        <v>1260</v>
      </c>
      <c r="BE9" s="873" t="n">
        <v>2007</v>
      </c>
      <c r="BF9" s="873" t="s">
        <v>1329</v>
      </c>
      <c r="BH9" s="874" t="s">
        <v>1330</v>
      </c>
      <c r="BJ9" s="874" t="s">
        <v>1331</v>
      </c>
      <c r="BL9" s="874" t="s">
        <v>1331</v>
      </c>
      <c r="BN9" s="874" t="s">
        <v>1332</v>
      </c>
      <c r="BQ9" s="873" t="n">
        <v>4213777</v>
      </c>
      <c r="BR9" s="874" t="s">
        <v>179</v>
      </c>
      <c r="BS9" s="877"/>
      <c r="BT9" s="873" t="n">
        <v>64236875</v>
      </c>
      <c r="BU9" s="874" t="s">
        <v>249</v>
      </c>
      <c r="BV9" s="222"/>
      <c r="BW9" s="53"/>
      <c r="BX9" s="53"/>
    </row>
    <row r="10" customFormat="false" ht="11.25" hidden="false" customHeight="true" outlineLevel="0" collapsed="false">
      <c r="A10" s="131" t="s">
        <v>1333</v>
      </c>
      <c r="B10" s="860" t="n">
        <v>2008</v>
      </c>
      <c r="E10" s="861" t="s">
        <v>1334</v>
      </c>
      <c r="F10" s="174"/>
      <c r="G10" s="861" t="s">
        <v>1335</v>
      </c>
      <c r="H10" s="861" t="s">
        <v>1336</v>
      </c>
      <c r="I10" s="861" t="s">
        <v>155</v>
      </c>
      <c r="J10" s="852" t="s">
        <v>1337</v>
      </c>
      <c r="K10" s="852" t="s">
        <v>1338</v>
      </c>
      <c r="O10" s="861" t="s">
        <v>1339</v>
      </c>
      <c r="V10" s="883" t="s">
        <v>155</v>
      </c>
      <c r="W10" s="884"/>
      <c r="X10" s="884" t="s">
        <v>209</v>
      </c>
      <c r="Y10" s="885" t="s">
        <v>1340</v>
      </c>
      <c r="Z10" s="95"/>
      <c r="AP10" s="666" t="s">
        <v>209</v>
      </c>
      <c r="AQ10" s="872" t="s">
        <v>209</v>
      </c>
      <c r="AW10" s="873" t="s">
        <v>1341</v>
      </c>
      <c r="AX10" s="873" t="s">
        <v>1341</v>
      </c>
      <c r="AZ10" s="873" t="s">
        <v>1342</v>
      </c>
      <c r="BB10" s="873" t="s">
        <v>1343</v>
      </c>
      <c r="BC10" s="873" t="s">
        <v>1260</v>
      </c>
      <c r="BE10" s="873" t="n">
        <v>2008</v>
      </c>
      <c r="BF10" s="873" t="s">
        <v>1344</v>
      </c>
      <c r="BH10" s="874" t="s">
        <v>1345</v>
      </c>
      <c r="BJ10" s="874" t="s">
        <v>1346</v>
      </c>
      <c r="BL10" s="874" t="s">
        <v>1346</v>
      </c>
      <c r="BN10" s="874" t="s">
        <v>1347</v>
      </c>
      <c r="BQ10" s="873" t="n">
        <v>4213778</v>
      </c>
      <c r="BR10" s="874" t="s">
        <v>185</v>
      </c>
      <c r="BS10" s="877"/>
      <c r="BT10" s="873" t="n">
        <v>64236876</v>
      </c>
      <c r="BU10" s="874" t="s">
        <v>229</v>
      </c>
      <c r="BV10" s="222"/>
      <c r="BW10" s="53"/>
      <c r="BX10" s="53"/>
    </row>
    <row r="11" customFormat="false" ht="11.25" hidden="false" customHeight="true" outlineLevel="0" collapsed="false">
      <c r="A11" s="131" t="s">
        <v>1348</v>
      </c>
      <c r="B11" s="860" t="n">
        <v>2009</v>
      </c>
      <c r="E11" s="861" t="s">
        <v>1349</v>
      </c>
      <c r="F11" s="174"/>
      <c r="G11" s="861" t="s">
        <v>1350</v>
      </c>
      <c r="H11" s="861" t="s">
        <v>1351</v>
      </c>
      <c r="I11" s="861" t="s">
        <v>156</v>
      </c>
      <c r="J11" s="861" t="s">
        <v>1352</v>
      </c>
      <c r="K11" s="886" t="s">
        <v>1353</v>
      </c>
      <c r="O11" s="861" t="s">
        <v>1354</v>
      </c>
      <c r="V11" s="881" t="s">
        <v>156</v>
      </c>
      <c r="W11" s="887"/>
      <c r="X11" s="869" t="s">
        <v>1325</v>
      </c>
      <c r="Y11" s="860" t="s">
        <v>1355</v>
      </c>
      <c r="Z11" s="95"/>
      <c r="AP11" s="666" t="s">
        <v>197</v>
      </c>
      <c r="AQ11" s="888" t="s">
        <v>197</v>
      </c>
      <c r="AW11" s="873" t="s">
        <v>1356</v>
      </c>
      <c r="AX11" s="873" t="s">
        <v>1356</v>
      </c>
      <c r="AZ11" s="873" t="s">
        <v>1357</v>
      </c>
      <c r="BB11" s="873" t="s">
        <v>1358</v>
      </c>
      <c r="BC11" s="873" t="s">
        <v>1260</v>
      </c>
      <c r="BE11" s="873" t="n">
        <v>2009</v>
      </c>
      <c r="BF11" s="873" t="s">
        <v>1359</v>
      </c>
      <c r="BH11" s="874" t="s">
        <v>1360</v>
      </c>
      <c r="BJ11" s="874" t="s">
        <v>1330</v>
      </c>
      <c r="BL11" s="874" t="s">
        <v>1330</v>
      </c>
      <c r="BN11" s="874" t="s">
        <v>1361</v>
      </c>
      <c r="BQ11" s="873" t="n">
        <v>4213780</v>
      </c>
      <c r="BR11" s="874" t="s">
        <v>191</v>
      </c>
      <c r="BS11" s="877"/>
      <c r="BW11" s="53"/>
      <c r="BX11" s="53"/>
    </row>
    <row r="12" customFormat="false" ht="11.25" hidden="false" customHeight="true" outlineLevel="0" collapsed="false">
      <c r="A12" s="131" t="s">
        <v>1362</v>
      </c>
      <c r="B12" s="860" t="n">
        <v>2010</v>
      </c>
      <c r="E12" s="861" t="s">
        <v>1363</v>
      </c>
      <c r="F12" s="174"/>
      <c r="G12" s="861" t="s">
        <v>1351</v>
      </c>
      <c r="I12" s="861" t="s">
        <v>157</v>
      </c>
      <c r="J12" s="861" t="s">
        <v>1364</v>
      </c>
      <c r="K12" s="886" t="s">
        <v>1365</v>
      </c>
      <c r="O12" s="861" t="s">
        <v>557</v>
      </c>
      <c r="V12" s="881" t="s">
        <v>157</v>
      </c>
      <c r="W12" s="888"/>
      <c r="X12" s="869" t="s">
        <v>1366</v>
      </c>
      <c r="Y12" s="860" t="s">
        <v>1157</v>
      </c>
      <c r="AP12" s="666"/>
      <c r="AW12" s="873" t="s">
        <v>156</v>
      </c>
      <c r="AX12" s="873" t="s">
        <v>156</v>
      </c>
      <c r="AZ12" s="873" t="s">
        <v>1367</v>
      </c>
      <c r="BB12" s="873" t="s">
        <v>1368</v>
      </c>
      <c r="BC12" s="873" t="s">
        <v>1260</v>
      </c>
      <c r="BE12" s="873" t="n">
        <v>2010</v>
      </c>
      <c r="BF12" s="873" t="s">
        <v>1369</v>
      </c>
      <c r="BH12" s="874" t="s">
        <v>1370</v>
      </c>
      <c r="BJ12" s="874" t="s">
        <v>1371</v>
      </c>
      <c r="BL12" s="874" t="s">
        <v>1371</v>
      </c>
      <c r="BN12" s="874" t="s">
        <v>1372</v>
      </c>
      <c r="BQ12" s="873" t="n">
        <v>4213779</v>
      </c>
      <c r="BR12" s="874" t="s">
        <v>1325</v>
      </c>
      <c r="BS12" s="877"/>
      <c r="BT12" s="222"/>
      <c r="BU12" s="222"/>
      <c r="BV12" s="222"/>
      <c r="BW12" s="53"/>
      <c r="BX12" s="53"/>
    </row>
    <row r="13" customFormat="false" ht="11.25" hidden="false" customHeight="true" outlineLevel="0" collapsed="false">
      <c r="A13" s="131" t="s">
        <v>1373</v>
      </c>
      <c r="B13" s="860" t="n">
        <v>2011</v>
      </c>
      <c r="E13" s="861" t="s">
        <v>1374</v>
      </c>
      <c r="F13" s="174"/>
      <c r="I13" s="861" t="s">
        <v>158</v>
      </c>
      <c r="K13" s="886" t="s">
        <v>1324</v>
      </c>
      <c r="V13" s="881" t="s">
        <v>158</v>
      </c>
      <c r="W13" s="888"/>
      <c r="X13" s="888"/>
      <c r="Y13" s="888"/>
      <c r="AW13" s="873" t="s">
        <v>157</v>
      </c>
      <c r="AX13" s="873" t="s">
        <v>157</v>
      </c>
      <c r="BB13" s="873" t="s">
        <v>1375</v>
      </c>
      <c r="BC13" s="873" t="s">
        <v>1376</v>
      </c>
      <c r="BE13" s="873" t="n">
        <v>2011</v>
      </c>
      <c r="BF13" s="873" t="s">
        <v>1377</v>
      </c>
      <c r="BH13" s="874" t="s">
        <v>1378</v>
      </c>
      <c r="BJ13" s="874" t="s">
        <v>1360</v>
      </c>
      <c r="BL13" s="874" t="s">
        <v>1360</v>
      </c>
      <c r="BN13" s="874" t="s">
        <v>1379</v>
      </c>
      <c r="BQ13" s="873" t="n">
        <v>4213783</v>
      </c>
      <c r="BR13" s="874" t="s">
        <v>209</v>
      </c>
      <c r="BS13" s="877"/>
      <c r="BT13" s="222"/>
      <c r="BU13" s="222"/>
      <c r="BV13" s="222"/>
      <c r="BW13" s="222"/>
      <c r="BX13" s="53"/>
    </row>
    <row r="14" customFormat="false" ht="11.25" hidden="false" customHeight="true" outlineLevel="0" collapsed="false">
      <c r="A14" s="131" t="s">
        <v>1380</v>
      </c>
      <c r="B14" s="860" t="n">
        <v>2012</v>
      </c>
      <c r="I14" s="861" t="s">
        <v>159</v>
      </c>
      <c r="J14" s="852" t="s">
        <v>1381</v>
      </c>
      <c r="N14" s="852" t="s">
        <v>1382</v>
      </c>
      <c r="V14" s="868" t="n">
        <v>13</v>
      </c>
      <c r="W14" s="869"/>
      <c r="X14" s="869" t="s">
        <v>1191</v>
      </c>
      <c r="Y14" s="860" t="s">
        <v>1157</v>
      </c>
      <c r="AW14" s="873" t="s">
        <v>158</v>
      </c>
      <c r="AX14" s="873" t="s">
        <v>158</v>
      </c>
      <c r="AZ14" s="852" t="s">
        <v>1383</v>
      </c>
      <c r="BB14" s="873" t="s">
        <v>1384</v>
      </c>
      <c r="BC14" s="873" t="s">
        <v>1376</v>
      </c>
      <c r="BE14" s="873" t="n">
        <v>2012</v>
      </c>
      <c r="BH14" s="874" t="s">
        <v>1300</v>
      </c>
      <c r="BJ14" s="889" t="s">
        <v>1385</v>
      </c>
      <c r="BL14" s="889" t="s">
        <v>1385</v>
      </c>
      <c r="BN14" s="874" t="s">
        <v>1386</v>
      </c>
      <c r="BQ14" s="873" t="n">
        <v>4213782</v>
      </c>
      <c r="BR14" s="874" t="s">
        <v>197</v>
      </c>
      <c r="BS14" s="877"/>
      <c r="BT14" s="222"/>
      <c r="BU14" s="222"/>
      <c r="BV14" s="222"/>
      <c r="BW14" s="222"/>
      <c r="BX14" s="53"/>
    </row>
    <row r="15" customFormat="false" ht="19.5" hidden="false" customHeight="true" outlineLevel="0" collapsed="false">
      <c r="A15" s="131" t="s">
        <v>1387</v>
      </c>
      <c r="B15" s="860" t="n">
        <v>2013</v>
      </c>
      <c r="E15" s="890" t="s">
        <v>1388</v>
      </c>
      <c r="G15" s="853" t="s">
        <v>1389</v>
      </c>
      <c r="H15" s="853" t="s">
        <v>1390</v>
      </c>
      <c r="I15" s="862" t="s">
        <v>160</v>
      </c>
      <c r="J15" s="888" t="s">
        <v>604</v>
      </c>
      <c r="N15" s="891" t="s">
        <v>1391</v>
      </c>
      <c r="X15" s="666"/>
      <c r="AW15" s="873" t="s">
        <v>159</v>
      </c>
      <c r="AX15" s="873" t="s">
        <v>159</v>
      </c>
      <c r="AZ15" s="873" t="s">
        <v>1311</v>
      </c>
      <c r="BB15" s="873" t="s">
        <v>1392</v>
      </c>
      <c r="BC15" s="873" t="s">
        <v>1376</v>
      </c>
      <c r="BE15" s="873" t="n">
        <v>2013</v>
      </c>
      <c r="BH15" s="874" t="s">
        <v>1316</v>
      </c>
      <c r="BJ15" s="889" t="s">
        <v>1393</v>
      </c>
      <c r="BL15" s="889" t="s">
        <v>1393</v>
      </c>
      <c r="BN15" s="874" t="s">
        <v>1394</v>
      </c>
      <c r="BR15" s="222"/>
      <c r="BS15" s="222"/>
      <c r="BT15" s="222"/>
      <c r="BU15" s="222"/>
      <c r="BV15" s="222"/>
      <c r="BW15" s="222"/>
      <c r="BX15" s="53"/>
    </row>
    <row r="16" customFormat="false" ht="21" hidden="false" customHeight="true" outlineLevel="0" collapsed="false">
      <c r="A16" s="892" t="s">
        <v>1395</v>
      </c>
      <c r="B16" s="860" t="n">
        <v>2014</v>
      </c>
      <c r="E16" s="893" t="s">
        <v>1396</v>
      </c>
      <c r="G16" s="861" t="s">
        <v>1397</v>
      </c>
      <c r="H16" s="861" t="s">
        <v>1398</v>
      </c>
      <c r="I16" s="862" t="s">
        <v>1399</v>
      </c>
      <c r="J16" s="888" t="s">
        <v>577</v>
      </c>
      <c r="N16" s="891" t="s">
        <v>1400</v>
      </c>
      <c r="AW16" s="873" t="s">
        <v>160</v>
      </c>
      <c r="AX16" s="873" t="s">
        <v>160</v>
      </c>
      <c r="AZ16" s="873" t="s">
        <v>1327</v>
      </c>
      <c r="BB16" s="873" t="s">
        <v>1401</v>
      </c>
      <c r="BC16" s="873" t="s">
        <v>1376</v>
      </c>
      <c r="BE16" s="873" t="n">
        <v>2014</v>
      </c>
      <c r="BH16" s="874" t="s">
        <v>1332</v>
      </c>
      <c r="BJ16" s="889" t="s">
        <v>1402</v>
      </c>
      <c r="BL16" s="889" t="s">
        <v>1402</v>
      </c>
      <c r="BN16" s="874" t="s">
        <v>1403</v>
      </c>
      <c r="BR16" s="222"/>
      <c r="BS16" s="222"/>
      <c r="BT16" s="222"/>
      <c r="BU16" s="222"/>
      <c r="BV16" s="222"/>
      <c r="BW16" s="222"/>
      <c r="BX16" s="53"/>
    </row>
    <row r="17" customFormat="false" ht="21" hidden="false" customHeight="true" outlineLevel="0" collapsed="false">
      <c r="A17" s="131" t="s">
        <v>1404</v>
      </c>
      <c r="B17" s="860" t="n">
        <v>2015</v>
      </c>
      <c r="G17" s="861" t="s">
        <v>1351</v>
      </c>
      <c r="H17" s="861" t="s">
        <v>1351</v>
      </c>
      <c r="I17" s="861" t="s">
        <v>1405</v>
      </c>
      <c r="N17" s="891" t="s">
        <v>1406</v>
      </c>
      <c r="X17" s="666"/>
      <c r="AW17" s="873" t="s">
        <v>1399</v>
      </c>
      <c r="AX17" s="873" t="s">
        <v>1399</v>
      </c>
      <c r="AZ17" s="873" t="s">
        <v>1407</v>
      </c>
      <c r="BB17" s="873" t="s">
        <v>1408</v>
      </c>
      <c r="BC17" s="873" t="s">
        <v>1260</v>
      </c>
      <c r="BE17" s="873" t="n">
        <v>2015</v>
      </c>
      <c r="BH17" s="874" t="s">
        <v>1347</v>
      </c>
      <c r="BJ17" s="889" t="s">
        <v>1409</v>
      </c>
      <c r="BL17" s="889" t="s">
        <v>1409</v>
      </c>
      <c r="BN17" s="874" t="s">
        <v>1410</v>
      </c>
      <c r="BR17" s="852" t="s">
        <v>1202</v>
      </c>
      <c r="BS17" s="258"/>
      <c r="BU17" s="852" t="s">
        <v>1411</v>
      </c>
      <c r="BV17" s="222"/>
      <c r="BW17" s="53"/>
      <c r="BX17" s="852" t="s">
        <v>1412</v>
      </c>
      <c r="CA17" s="852" t="s">
        <v>1413</v>
      </c>
      <c r="CD17" s="852" t="s">
        <v>1414</v>
      </c>
    </row>
    <row r="18" customFormat="false" ht="21" hidden="false" customHeight="true" outlineLevel="0" collapsed="false">
      <c r="A18" s="131" t="s">
        <v>1415</v>
      </c>
      <c r="B18" s="860" t="n">
        <v>2016</v>
      </c>
      <c r="I18" s="861" t="s">
        <v>1416</v>
      </c>
      <c r="N18" s="891" t="s">
        <v>1417</v>
      </c>
      <c r="X18" s="666"/>
      <c r="AW18" s="873" t="s">
        <v>1405</v>
      </c>
      <c r="AX18" s="873" t="s">
        <v>1405</v>
      </c>
      <c r="BB18" s="873" t="s">
        <v>1418</v>
      </c>
      <c r="BC18" s="873" t="s">
        <v>1260</v>
      </c>
      <c r="BE18" s="873" t="n">
        <v>2016</v>
      </c>
      <c r="BH18" s="874" t="s">
        <v>1361</v>
      </c>
      <c r="BJ18" s="889" t="s">
        <v>1419</v>
      </c>
      <c r="BL18" s="889" t="s">
        <v>1419</v>
      </c>
      <c r="BN18" s="874" t="s">
        <v>1420</v>
      </c>
      <c r="BQ18" s="875" t="s">
        <v>1232</v>
      </c>
      <c r="BR18" s="666" t="s">
        <v>1233</v>
      </c>
      <c r="BS18" s="666"/>
      <c r="BT18" s="875" t="s">
        <v>1421</v>
      </c>
      <c r="BU18" s="666" t="s">
        <v>1422</v>
      </c>
      <c r="BV18" s="222"/>
      <c r="BW18" s="875" t="s">
        <v>1423</v>
      </c>
      <c r="BX18" s="666" t="s">
        <v>1424</v>
      </c>
      <c r="BZ18" s="875" t="s">
        <v>1425</v>
      </c>
      <c r="CA18" s="666" t="s">
        <v>1426</v>
      </c>
      <c r="CC18" s="875" t="s">
        <v>1427</v>
      </c>
      <c r="CD18" s="666" t="s">
        <v>1428</v>
      </c>
    </row>
    <row r="19" customFormat="false" ht="21" hidden="false" customHeight="true" outlineLevel="0" collapsed="false">
      <c r="A19" s="892" t="s">
        <v>1429</v>
      </c>
      <c r="B19" s="860" t="n">
        <v>2017</v>
      </c>
      <c r="I19" s="861" t="s">
        <v>1430</v>
      </c>
      <c r="N19" s="891" t="s">
        <v>1431</v>
      </c>
      <c r="X19" s="666"/>
      <c r="AW19" s="873" t="s">
        <v>1416</v>
      </c>
      <c r="AX19" s="873" t="s">
        <v>1416</v>
      </c>
      <c r="AZ19" s="852" t="s">
        <v>1432</v>
      </c>
      <c r="BB19" s="873" t="s">
        <v>1433</v>
      </c>
      <c r="BC19" s="873" t="s">
        <v>1260</v>
      </c>
      <c r="BE19" s="873" t="n">
        <v>2017</v>
      </c>
      <c r="BH19" s="874" t="s">
        <v>1434</v>
      </c>
      <c r="BJ19" s="889" t="s">
        <v>1435</v>
      </c>
      <c r="BL19" s="889" t="s">
        <v>1435</v>
      </c>
      <c r="BQ19" s="873" t="n">
        <v>4190064</v>
      </c>
      <c r="BR19" s="874" t="s">
        <v>1436</v>
      </c>
      <c r="BS19" s="877"/>
      <c r="BT19" s="873" t="n">
        <v>4189671</v>
      </c>
      <c r="BU19" s="874" t="s">
        <v>1437</v>
      </c>
      <c r="BV19" s="222"/>
      <c r="BW19" s="873" t="n">
        <v>4189706</v>
      </c>
      <c r="BX19" s="874" t="s">
        <v>1438</v>
      </c>
      <c r="BZ19" s="873" t="n">
        <v>4189714</v>
      </c>
      <c r="CA19" s="874" t="s">
        <v>1439</v>
      </c>
      <c r="CC19" s="873" t="n">
        <v>4189708</v>
      </c>
      <c r="CD19" s="874" t="s">
        <v>1440</v>
      </c>
    </row>
    <row r="20" customFormat="false" ht="21" hidden="false" customHeight="true" outlineLevel="0" collapsed="false">
      <c r="A20" s="131" t="s">
        <v>1441</v>
      </c>
      <c r="B20" s="860" t="n">
        <v>2018</v>
      </c>
      <c r="I20" s="861" t="s">
        <v>1442</v>
      </c>
      <c r="N20" s="891" t="s">
        <v>1443</v>
      </c>
      <c r="AW20" s="873" t="s">
        <v>1430</v>
      </c>
      <c r="AX20" s="873" t="s">
        <v>1430</v>
      </c>
      <c r="AZ20" s="873" t="s">
        <v>1444</v>
      </c>
      <c r="BB20" s="873" t="s">
        <v>1445</v>
      </c>
      <c r="BC20" s="873" t="s">
        <v>1376</v>
      </c>
      <c r="BE20" s="873" t="n">
        <v>2018</v>
      </c>
      <c r="BH20" s="874" t="s">
        <v>1372</v>
      </c>
      <c r="BJ20" s="874" t="s">
        <v>1300</v>
      </c>
      <c r="BL20" s="874" t="s">
        <v>1300</v>
      </c>
      <c r="BQ20" s="873" t="n">
        <v>4190065</v>
      </c>
      <c r="BR20" s="874" t="s">
        <v>1446</v>
      </c>
      <c r="BS20" s="877"/>
      <c r="BT20" s="873" t="n">
        <v>4189672</v>
      </c>
      <c r="BU20" s="874" t="s">
        <v>1447</v>
      </c>
      <c r="BV20" s="222"/>
      <c r="BW20" s="873" t="n">
        <v>4189705</v>
      </c>
      <c r="BX20" s="874" t="s">
        <v>1448</v>
      </c>
      <c r="BZ20" s="873" t="n">
        <v>4189713</v>
      </c>
      <c r="CA20" s="874" t="s">
        <v>1448</v>
      </c>
      <c r="CC20" s="873" t="n">
        <v>4189709</v>
      </c>
      <c r="CD20" s="874" t="s">
        <v>1449</v>
      </c>
    </row>
    <row r="21" customFormat="false" ht="21" hidden="false" customHeight="true" outlineLevel="0" collapsed="false">
      <c r="A21" s="131" t="s">
        <v>1450</v>
      </c>
      <c r="B21" s="860" t="n">
        <v>2019</v>
      </c>
      <c r="I21" s="861" t="s">
        <v>1451</v>
      </c>
      <c r="N21" s="891" t="s">
        <v>1452</v>
      </c>
      <c r="AW21" s="873" t="s">
        <v>1442</v>
      </c>
      <c r="AX21" s="873" t="s">
        <v>1442</v>
      </c>
      <c r="AZ21" s="873" t="s">
        <v>1453</v>
      </c>
      <c r="BB21" s="873" t="s">
        <v>1454</v>
      </c>
      <c r="BC21" s="873" t="s">
        <v>1260</v>
      </c>
      <c r="BE21" s="873" t="n">
        <v>2019</v>
      </c>
      <c r="BH21" s="874" t="s">
        <v>1379</v>
      </c>
      <c r="BJ21" s="874" t="s">
        <v>1316</v>
      </c>
      <c r="BL21" s="874" t="s">
        <v>1316</v>
      </c>
      <c r="BQ21" s="873" t="n">
        <v>4190066</v>
      </c>
      <c r="BR21" s="874" t="s">
        <v>1455</v>
      </c>
      <c r="BS21" s="877"/>
      <c r="BT21" s="873" t="n">
        <v>4189673</v>
      </c>
      <c r="BU21" s="874" t="s">
        <v>1456</v>
      </c>
      <c r="BV21" s="222"/>
      <c r="BW21" s="873" t="n">
        <v>4189707</v>
      </c>
      <c r="BX21" s="874" t="s">
        <v>1457</v>
      </c>
      <c r="BZ21" s="873" t="n">
        <v>4189712</v>
      </c>
      <c r="CA21" s="874" t="s">
        <v>1458</v>
      </c>
      <c r="CC21" s="873" t="n">
        <v>4189710</v>
      </c>
      <c r="CD21" s="874" t="s">
        <v>1459</v>
      </c>
    </row>
    <row r="22" customFormat="false" ht="21" hidden="false" customHeight="true" outlineLevel="0" collapsed="false">
      <c r="A22" s="131" t="s">
        <v>1460</v>
      </c>
      <c r="B22" s="860" t="n">
        <v>2020</v>
      </c>
      <c r="N22" s="891" t="s">
        <v>1461</v>
      </c>
      <c r="AW22" s="873" t="s">
        <v>1451</v>
      </c>
      <c r="AX22" s="873" t="s">
        <v>1451</v>
      </c>
      <c r="AZ22" s="873" t="s">
        <v>1462</v>
      </c>
      <c r="BB22" s="873" t="s">
        <v>1463</v>
      </c>
      <c r="BC22" s="873" t="s">
        <v>1260</v>
      </c>
      <c r="BE22" s="873" t="n">
        <v>2020</v>
      </c>
      <c r="BH22" s="874" t="s">
        <v>1386</v>
      </c>
      <c r="BJ22" s="874" t="s">
        <v>1332</v>
      </c>
      <c r="BL22" s="874" t="s">
        <v>1332</v>
      </c>
      <c r="BQ22" s="873" t="n">
        <v>4190067</v>
      </c>
      <c r="BR22" s="874" t="s">
        <v>1464</v>
      </c>
      <c r="BS22" s="877"/>
      <c r="BT22" s="873" t="n">
        <v>4189674</v>
      </c>
      <c r="BU22" s="874" t="s">
        <v>1465</v>
      </c>
      <c r="BV22" s="222"/>
      <c r="BW22" s="222"/>
      <c r="CC22" s="873" t="n">
        <v>4189711</v>
      </c>
      <c r="CD22" s="874" t="s">
        <v>309</v>
      </c>
    </row>
    <row r="23" customFormat="false" ht="21" hidden="false" customHeight="true" outlineLevel="0" collapsed="false">
      <c r="A23" s="131" t="s">
        <v>1466</v>
      </c>
      <c r="B23" s="860" t="n">
        <v>2021</v>
      </c>
      <c r="AW23" s="873" t="s">
        <v>1467</v>
      </c>
      <c r="AX23" s="873" t="s">
        <v>1467</v>
      </c>
      <c r="AZ23" s="873" t="s">
        <v>1468</v>
      </c>
      <c r="BB23" s="873" t="s">
        <v>1469</v>
      </c>
      <c r="BC23" s="873" t="s">
        <v>1168</v>
      </c>
      <c r="BE23" s="873" t="n">
        <v>2021</v>
      </c>
      <c r="BH23" s="874" t="s">
        <v>1394</v>
      </c>
      <c r="BJ23" s="874" t="s">
        <v>1347</v>
      </c>
      <c r="BL23" s="874" t="s">
        <v>1347</v>
      </c>
      <c r="BQ23" s="873" t="n">
        <v>4190068</v>
      </c>
      <c r="BR23" s="874" t="s">
        <v>1470</v>
      </c>
      <c r="BS23" s="877"/>
      <c r="BT23" s="873" t="n">
        <v>4189675</v>
      </c>
      <c r="BU23" s="874" t="s">
        <v>1471</v>
      </c>
      <c r="BV23" s="222"/>
      <c r="BW23" s="222"/>
      <c r="CC23" s="873" t="n">
        <v>5110778</v>
      </c>
      <c r="CD23" s="874" t="s">
        <v>1472</v>
      </c>
    </row>
    <row r="24" customFormat="false" ht="21" hidden="false" customHeight="true" outlineLevel="0" collapsed="false">
      <c r="A24" s="131" t="s">
        <v>1473</v>
      </c>
      <c r="B24" s="860" t="n">
        <v>2022</v>
      </c>
      <c r="AW24" s="873" t="s">
        <v>1474</v>
      </c>
      <c r="AX24" s="873" t="s">
        <v>1474</v>
      </c>
      <c r="AZ24" s="873" t="s">
        <v>1475</v>
      </c>
      <c r="BB24" s="873" t="s">
        <v>1476</v>
      </c>
      <c r="BC24" s="873" t="s">
        <v>1477</v>
      </c>
      <c r="BE24" s="873" t="n">
        <v>2022</v>
      </c>
      <c r="BH24" s="874" t="s">
        <v>1403</v>
      </c>
      <c r="BJ24" s="874" t="s">
        <v>1361</v>
      </c>
      <c r="BL24" s="874" t="s">
        <v>1361</v>
      </c>
      <c r="BQ24" s="873" t="n">
        <v>4190069</v>
      </c>
      <c r="BR24" s="874" t="s">
        <v>1478</v>
      </c>
      <c r="BS24" s="877"/>
      <c r="BT24" s="873" t="n">
        <v>4189676</v>
      </c>
      <c r="BU24" s="874" t="s">
        <v>1479</v>
      </c>
      <c r="BV24" s="222"/>
      <c r="BW24" s="222"/>
      <c r="CC24" s="873" t="n">
        <v>25575374</v>
      </c>
      <c r="CD24" s="874" t="s">
        <v>1480</v>
      </c>
    </row>
    <row r="25" customFormat="false" ht="11.25" hidden="false" customHeight="true" outlineLevel="0" collapsed="false">
      <c r="A25" s="131" t="s">
        <v>1481</v>
      </c>
      <c r="B25" s="860" t="n">
        <v>2023</v>
      </c>
      <c r="AW25" s="873" t="s">
        <v>1482</v>
      </c>
      <c r="AX25" s="873" t="s">
        <v>1482</v>
      </c>
      <c r="AZ25" s="873" t="s">
        <v>1483</v>
      </c>
      <c r="BB25" s="873" t="s">
        <v>1484</v>
      </c>
      <c r="BC25" s="873" t="s">
        <v>1477</v>
      </c>
      <c r="BE25" s="873" t="n">
        <v>2023</v>
      </c>
      <c r="BH25" s="874" t="s">
        <v>1410</v>
      </c>
      <c r="BJ25" s="874" t="s">
        <v>1434</v>
      </c>
      <c r="BL25" s="874" t="s">
        <v>1434</v>
      </c>
      <c r="BQ25" s="873" t="n">
        <v>4190070</v>
      </c>
      <c r="BR25" s="874" t="s">
        <v>1485</v>
      </c>
      <c r="BS25" s="877"/>
      <c r="BT25" s="873" t="n">
        <v>4189677</v>
      </c>
      <c r="BU25" s="874" t="s">
        <v>1486</v>
      </c>
      <c r="BV25" s="222"/>
      <c r="BW25" s="222"/>
    </row>
    <row r="26" customFormat="false" ht="11.25" hidden="false" customHeight="true" outlineLevel="0" collapsed="false">
      <c r="A26" s="131" t="s">
        <v>1487</v>
      </c>
      <c r="B26" s="860" t="n">
        <v>2024</v>
      </c>
      <c r="J26" s="894" t="s">
        <v>1488</v>
      </c>
      <c r="AX26" s="873" t="s">
        <v>1489</v>
      </c>
      <c r="AZ26" s="873" t="s">
        <v>1354</v>
      </c>
      <c r="BB26" s="873" t="s">
        <v>1490</v>
      </c>
      <c r="BC26" s="873" t="s">
        <v>1477</v>
      </c>
      <c r="BE26" s="873" t="n">
        <v>2024</v>
      </c>
      <c r="BH26" s="874" t="s">
        <v>1420</v>
      </c>
      <c r="BJ26" s="874" t="s">
        <v>1372</v>
      </c>
      <c r="BL26" s="874" t="s">
        <v>1372</v>
      </c>
      <c r="BQ26" s="873" t="n">
        <v>4190071</v>
      </c>
      <c r="BR26" s="874" t="s">
        <v>1491</v>
      </c>
      <c r="BS26" s="877"/>
      <c r="BV26" s="222"/>
      <c r="BW26" s="222"/>
    </row>
    <row r="27" customFormat="false" ht="11.25" hidden="false" customHeight="true" outlineLevel="0" collapsed="false">
      <c r="A27" s="131" t="s">
        <v>1492</v>
      </c>
      <c r="B27" s="860" t="n">
        <v>2025</v>
      </c>
      <c r="J27" s="137" t="s">
        <v>100</v>
      </c>
      <c r="AX27" s="873" t="s">
        <v>1493</v>
      </c>
      <c r="BB27" s="873" t="s">
        <v>1494</v>
      </c>
      <c r="BC27" s="873" t="s">
        <v>1477</v>
      </c>
      <c r="BE27" s="873" t="n">
        <v>2025</v>
      </c>
      <c r="BJ27" s="874" t="s">
        <v>1379</v>
      </c>
      <c r="BL27" s="874" t="s">
        <v>1379</v>
      </c>
      <c r="BQ27" s="873" t="n">
        <v>4190072</v>
      </c>
      <c r="BR27" s="874" t="s">
        <v>1495</v>
      </c>
      <c r="BS27" s="877"/>
      <c r="BV27" s="222"/>
      <c r="BW27" s="222"/>
    </row>
    <row r="28" customFormat="false" ht="11.25" hidden="false" customHeight="true" outlineLevel="0" collapsed="false">
      <c r="A28" s="131" t="s">
        <v>1496</v>
      </c>
      <c r="D28" s="131"/>
      <c r="E28" s="895"/>
      <c r="F28" s="895"/>
      <c r="H28" s="220" t="s">
        <v>1497</v>
      </c>
      <c r="AX28" s="873" t="s">
        <v>1498</v>
      </c>
      <c r="AZ28" s="852" t="s">
        <v>1499</v>
      </c>
      <c r="BB28" s="873" t="s">
        <v>1500</v>
      </c>
      <c r="BC28" s="873" t="s">
        <v>1501</v>
      </c>
      <c r="BE28" s="873" t="n">
        <v>2026</v>
      </c>
      <c r="BJ28" s="874" t="s">
        <v>1386</v>
      </c>
      <c r="BL28" s="874" t="s">
        <v>1386</v>
      </c>
      <c r="BQ28" s="873" t="n">
        <v>4190073</v>
      </c>
      <c r="BR28" s="874" t="s">
        <v>1502</v>
      </c>
      <c r="BS28" s="877"/>
      <c r="BV28" s="222"/>
      <c r="BW28" s="222"/>
    </row>
    <row r="29" customFormat="false" ht="11.25" hidden="false" customHeight="true" outlineLevel="0" collapsed="false">
      <c r="A29" s="131" t="s">
        <v>1503</v>
      </c>
      <c r="D29" s="896" t="s">
        <v>1504</v>
      </c>
      <c r="E29" s="897" t="str">
        <f aca="false">IF(TEMPLATE_GROUP="","",INDEX(StartDateList,MATCH(TEMPLATE_GROUP,CodeTemplateList,0),1))</f>
        <v>45292.464004629626</v>
      </c>
      <c r="F29" s="897" t="str">
        <f aca="false">IF(TEMPLATE_GROUP="","",INDEX(EndDateList,MATCH(TEMPLATE_GROUP,CodeTemplateList,0),1))</f>
        <v>47118.4640625</v>
      </c>
      <c r="H29" s="898" t="s">
        <v>1505</v>
      </c>
      <c r="AX29" s="873" t="s">
        <v>1506</v>
      </c>
      <c r="AZ29" s="873" t="s">
        <v>1152</v>
      </c>
      <c r="BB29" s="873" t="s">
        <v>1354</v>
      </c>
      <c r="BC29" s="95"/>
      <c r="BE29" s="873" t="n">
        <v>2027</v>
      </c>
      <c r="BJ29" s="874" t="s">
        <v>1394</v>
      </c>
      <c r="BL29" s="874" t="s">
        <v>1394</v>
      </c>
    </row>
    <row r="30" customFormat="false" ht="11.25" hidden="false" customHeight="true" outlineLevel="0" collapsed="false">
      <c r="A30" s="131" t="s">
        <v>1507</v>
      </c>
      <c r="D30" s="899"/>
      <c r="E30" s="900"/>
      <c r="F30" s="900"/>
      <c r="AX30" s="873" t="s">
        <v>1508</v>
      </c>
      <c r="AZ30" s="873" t="s">
        <v>1180</v>
      </c>
      <c r="BE30" s="873" t="n">
        <v>2028</v>
      </c>
      <c r="BJ30" s="874" t="s">
        <v>1509</v>
      </c>
      <c r="BL30" s="874" t="s">
        <v>1509</v>
      </c>
    </row>
    <row r="31" customFormat="false" ht="12.75" hidden="false" customHeight="true" outlineLevel="0" collapsed="false">
      <c r="A31" s="131" t="s">
        <v>1510</v>
      </c>
      <c r="D31" s="131"/>
      <c r="E31" s="895"/>
      <c r="F31" s="895"/>
      <c r="H31" s="901"/>
      <c r="AX31" s="873" t="s">
        <v>1511</v>
      </c>
      <c r="AZ31" s="873" t="s">
        <v>561</v>
      </c>
      <c r="BE31" s="873" t="n">
        <v>2029</v>
      </c>
      <c r="BJ31" s="874" t="s">
        <v>1512</v>
      </c>
      <c r="BL31" s="874" t="s">
        <v>1512</v>
      </c>
    </row>
    <row r="32" customFormat="false" ht="11.25" hidden="false" customHeight="true" outlineLevel="0" collapsed="false">
      <c r="A32" s="131" t="s">
        <v>1513</v>
      </c>
      <c r="D32" s="896" t="s">
        <v>1514</v>
      </c>
      <c r="E32" s="897" t="str">
        <f aca="false">IF(TEMPLATE_GROUP="","",INDEX(StartDateList,MATCH(TEMPLATE_GROUP,CodeTemplateList,0),1))</f>
        <v>45292.464004629626</v>
      </c>
      <c r="F32" s="897" t="str">
        <f aca="false">IF(TEMPLATE_GROUP="","",INDEX(EndDateList,MATCH(TEMPLATE_GROUP,CodeTemplateList,0),1))</f>
        <v>47118.4640625</v>
      </c>
      <c r="H32" s="902" t="s">
        <v>1515</v>
      </c>
      <c r="O32" s="131" t="s">
        <v>1151</v>
      </c>
      <c r="AX32" s="873" t="s">
        <v>1516</v>
      </c>
      <c r="AZ32" s="873" t="s">
        <v>1248</v>
      </c>
      <c r="BE32" s="873" t="n">
        <v>2030</v>
      </c>
      <c r="BJ32" s="874" t="s">
        <v>1403</v>
      </c>
      <c r="BL32" s="874" t="s">
        <v>1403</v>
      </c>
    </row>
    <row r="33" customFormat="false" ht="11.25" hidden="false" customHeight="true" outlineLevel="0" collapsed="false">
      <c r="A33" s="131" t="s">
        <v>1517</v>
      </c>
      <c r="O33" s="131" t="s">
        <v>1177</v>
      </c>
      <c r="AX33" s="873" t="s">
        <v>1518</v>
      </c>
      <c r="AZ33" s="873" t="s">
        <v>557</v>
      </c>
      <c r="BE33" s="873" t="n">
        <v>2031</v>
      </c>
      <c r="BJ33" s="874" t="s">
        <v>1410</v>
      </c>
      <c r="BL33" s="874" t="s">
        <v>1410</v>
      </c>
    </row>
    <row r="34" customFormat="false" ht="11.25" hidden="false" customHeight="true" outlineLevel="0" collapsed="false">
      <c r="A34" s="131" t="s">
        <v>1519</v>
      </c>
      <c r="O34" s="131" t="s">
        <v>1213</v>
      </c>
      <c r="AX34" s="873" t="s">
        <v>1520</v>
      </c>
      <c r="BE34" s="873" t="n">
        <v>2032</v>
      </c>
      <c r="BJ34" s="874" t="s">
        <v>1420</v>
      </c>
      <c r="BL34" s="874" t="s">
        <v>1420</v>
      </c>
    </row>
    <row r="35" customFormat="false" ht="11.25" hidden="false" customHeight="true" outlineLevel="0" collapsed="false">
      <c r="A35" s="131" t="s">
        <v>1521</v>
      </c>
      <c r="O35" s="131" t="s">
        <v>1246</v>
      </c>
      <c r="AX35" s="873" t="s">
        <v>1522</v>
      </c>
      <c r="AZ35" s="852" t="s">
        <v>1523</v>
      </c>
      <c r="BE35" s="873" t="n">
        <v>2033</v>
      </c>
      <c r="BL35" s="874" t="s">
        <v>1524</v>
      </c>
    </row>
    <row r="36" customFormat="false" ht="11.25" hidden="false" customHeight="true" outlineLevel="0" collapsed="false">
      <c r="A36" s="892" t="s">
        <v>1525</v>
      </c>
      <c r="D36" s="903" t="s">
        <v>1526</v>
      </c>
      <c r="E36" s="904" t="s">
        <v>830</v>
      </c>
      <c r="F36" s="872" t="str">
        <f aca="false">INDEX(E37:E41,MATCH(TEMPLATE_SPHERE,F37:F41,0))</f>
        <v>горячего водоснабжения</v>
      </c>
      <c r="G36" s="872" t="str">
        <f aca="false">INDEX(G37:G41,MATCH(TEMPLATE_SPHERE,F37:F41,0))</f>
        <v>горячее водоснабжение</v>
      </c>
      <c r="O36" s="131" t="s">
        <v>1271</v>
      </c>
      <c r="AX36" s="873" t="s">
        <v>1527</v>
      </c>
      <c r="AZ36" s="873" t="s">
        <v>557</v>
      </c>
      <c r="BE36" s="873" t="n">
        <v>2034</v>
      </c>
      <c r="BL36" s="874" t="s">
        <v>1528</v>
      </c>
    </row>
    <row r="37" customFormat="false" ht="11.25" hidden="false" customHeight="true" outlineLevel="0" collapsed="false">
      <c r="A37" s="131" t="s">
        <v>1529</v>
      </c>
      <c r="E37" s="905" t="s">
        <v>1530</v>
      </c>
      <c r="F37" s="906" t="s">
        <v>743</v>
      </c>
      <c r="G37" s="905" t="s">
        <v>1531</v>
      </c>
      <c r="O37" s="131" t="s">
        <v>1290</v>
      </c>
      <c r="AX37" s="873" t="s">
        <v>1532</v>
      </c>
      <c r="AZ37" s="873" t="s">
        <v>1179</v>
      </c>
      <c r="BE37" s="873" t="n">
        <v>2035</v>
      </c>
    </row>
    <row r="38" customFormat="false" ht="11.25" hidden="false" customHeight="true" outlineLevel="0" collapsed="false">
      <c r="A38" s="131" t="s">
        <v>1533</v>
      </c>
      <c r="E38" s="905" t="s">
        <v>1534</v>
      </c>
      <c r="F38" s="907" t="s">
        <v>789</v>
      </c>
      <c r="G38" s="905" t="s">
        <v>1535</v>
      </c>
      <c r="O38" s="131" t="s">
        <v>1307</v>
      </c>
      <c r="AX38" s="873" t="s">
        <v>1536</v>
      </c>
      <c r="AZ38" s="873" t="s">
        <v>1214</v>
      </c>
      <c r="BE38" s="873" t="n">
        <v>2036</v>
      </c>
      <c r="BH38" s="852" t="s">
        <v>1537</v>
      </c>
      <c r="BJ38" s="852" t="s">
        <v>1538</v>
      </c>
      <c r="BL38" s="852" t="s">
        <v>1539</v>
      </c>
      <c r="BN38" s="852" t="s">
        <v>1540</v>
      </c>
    </row>
    <row r="39" customFormat="false" ht="11.25" hidden="false" customHeight="true" outlineLevel="0" collapsed="false">
      <c r="A39" s="131" t="s">
        <v>1541</v>
      </c>
      <c r="E39" s="905" t="s">
        <v>1542</v>
      </c>
      <c r="F39" s="907" t="s">
        <v>844</v>
      </c>
      <c r="G39" s="905" t="s">
        <v>1543</v>
      </c>
      <c r="O39" s="131" t="s">
        <v>1323</v>
      </c>
      <c r="AX39" s="873" t="s">
        <v>1544</v>
      </c>
      <c r="AZ39" s="873" t="s">
        <v>1247</v>
      </c>
      <c r="BE39" s="873" t="n">
        <v>2037</v>
      </c>
      <c r="BH39" s="874" t="s">
        <v>1545</v>
      </c>
      <c r="BJ39" s="889" t="s">
        <v>1545</v>
      </c>
      <c r="BL39" s="889" t="s">
        <v>1545</v>
      </c>
      <c r="BN39" s="874" t="s">
        <v>1546</v>
      </c>
    </row>
    <row r="40" customFormat="false" ht="11.25" hidden="false" customHeight="true" outlineLevel="0" collapsed="false">
      <c r="A40" s="131" t="s">
        <v>1547</v>
      </c>
      <c r="E40" s="905" t="s">
        <v>1548</v>
      </c>
      <c r="F40" s="907" t="s">
        <v>830</v>
      </c>
      <c r="G40" s="905" t="s">
        <v>1549</v>
      </c>
      <c r="O40" s="131" t="s">
        <v>1339</v>
      </c>
      <c r="AX40" s="873" t="s">
        <v>1550</v>
      </c>
      <c r="BE40" s="873" t="n">
        <v>2038</v>
      </c>
      <c r="BH40" s="874" t="s">
        <v>1551</v>
      </c>
      <c r="BJ40" s="889" t="s">
        <v>965</v>
      </c>
      <c r="BL40" s="889" t="s">
        <v>965</v>
      </c>
      <c r="BN40" s="874" t="s">
        <v>999</v>
      </c>
    </row>
    <row r="41" customFormat="false" ht="11.25" hidden="false" customHeight="true" outlineLevel="0" collapsed="false">
      <c r="A41" s="131" t="s">
        <v>1552</v>
      </c>
      <c r="E41" s="905" t="s">
        <v>1553</v>
      </c>
      <c r="F41" s="907" t="s">
        <v>1554</v>
      </c>
      <c r="G41" s="905" t="s">
        <v>1553</v>
      </c>
      <c r="O41" s="131" t="s">
        <v>1354</v>
      </c>
      <c r="AX41" s="873" t="s">
        <v>1555</v>
      </c>
      <c r="AZ41" s="852" t="s">
        <v>1556</v>
      </c>
      <c r="BE41" s="873" t="n">
        <v>2039</v>
      </c>
      <c r="BH41" s="874" t="s">
        <v>1557</v>
      </c>
      <c r="BJ41" s="889" t="s">
        <v>961</v>
      </c>
      <c r="BL41" s="889" t="s">
        <v>961</v>
      </c>
      <c r="BN41" s="874" t="s">
        <v>986</v>
      </c>
    </row>
    <row r="42" customFormat="false" ht="11.25" hidden="false" customHeight="true" outlineLevel="0" collapsed="false">
      <c r="A42" s="131" t="s">
        <v>1558</v>
      </c>
      <c r="AX42" s="873" t="s">
        <v>1559</v>
      </c>
      <c r="AZ42" s="873" t="s">
        <v>1151</v>
      </c>
      <c r="BE42" s="873" t="n">
        <v>2040</v>
      </c>
      <c r="BH42" s="874" t="s">
        <v>983</v>
      </c>
      <c r="BJ42" s="889" t="s">
        <v>963</v>
      </c>
      <c r="BL42" s="889" t="s">
        <v>963</v>
      </c>
      <c r="BN42" s="874" t="s">
        <v>1560</v>
      </c>
    </row>
    <row r="43" customFormat="false" ht="11.25" hidden="false" customHeight="true" outlineLevel="0" collapsed="false">
      <c r="A43" s="131" t="s">
        <v>1561</v>
      </c>
      <c r="AX43" s="873" t="s">
        <v>1562</v>
      </c>
      <c r="AZ43" s="873" t="s">
        <v>1177</v>
      </c>
      <c r="BE43" s="873" t="n">
        <v>2041</v>
      </c>
      <c r="BH43" s="874" t="s">
        <v>1563</v>
      </c>
      <c r="BJ43" s="889" t="s">
        <v>1557</v>
      </c>
      <c r="BL43" s="889" t="s">
        <v>1557</v>
      </c>
      <c r="BN43" s="874" t="s">
        <v>1564</v>
      </c>
    </row>
    <row r="44" customFormat="false" ht="11.25" hidden="false" customHeight="true" outlineLevel="0" collapsed="false">
      <c r="A44" s="131" t="s">
        <v>1565</v>
      </c>
      <c r="I44" s="908" t="s">
        <v>1566</v>
      </c>
      <c r="J44" s="888" t="s">
        <v>1567</v>
      </c>
      <c r="K44" s="888" t="s">
        <v>1568</v>
      </c>
      <c r="AX44" s="873" t="s">
        <v>1569</v>
      </c>
      <c r="AZ44" s="873" t="s">
        <v>1213</v>
      </c>
      <c r="BE44" s="873" t="n">
        <v>2042</v>
      </c>
      <c r="BH44" s="874" t="s">
        <v>1570</v>
      </c>
      <c r="BJ44" s="889" t="s">
        <v>983</v>
      </c>
      <c r="BL44" s="889" t="s">
        <v>983</v>
      </c>
      <c r="BN44" s="874" t="s">
        <v>1571</v>
      </c>
    </row>
    <row r="45" customFormat="false" ht="11.25" hidden="false" customHeight="true" outlineLevel="0" collapsed="false">
      <c r="A45" s="131" t="s">
        <v>1572</v>
      </c>
      <c r="D45" s="903" t="s">
        <v>1573</v>
      </c>
      <c r="E45" s="904" t="s">
        <v>1574</v>
      </c>
      <c r="F45" s="854" t="s">
        <v>1575</v>
      </c>
      <c r="G45" s="909" t="s">
        <v>1576</v>
      </c>
      <c r="H45" s="908" t="s">
        <v>1577</v>
      </c>
      <c r="I45" s="910" t="n">
        <f aca="false">INDEX(PeriodIsEmptyList,MATCH(TEMPLATE_GROUP,CodeTemplateList,0),1)</f>
        <v>0</v>
      </c>
      <c r="J45" s="911" t="str">
        <f aca="false">INDEX(NameTemplatesInTitleList,MATCH(TEMPLATE_GROUP,CodeTemplateList,0),1)</f>
        <v>Показатели, подлежащие раскрытию в сфере горячего водоснабжения (цены и тарифы)</v>
      </c>
      <c r="K45" s="911"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873" t="s">
        <v>1578</v>
      </c>
      <c r="AZ45" s="873" t="s">
        <v>1246</v>
      </c>
      <c r="BE45" s="873" t="n">
        <v>2043</v>
      </c>
      <c r="BH45" s="874" t="s">
        <v>1579</v>
      </c>
      <c r="BJ45" s="889" t="s">
        <v>977</v>
      </c>
      <c r="BL45" s="889" t="s">
        <v>977</v>
      </c>
      <c r="BN45" s="874" t="s">
        <v>1580</v>
      </c>
    </row>
    <row r="46" customFormat="false" ht="11.25" hidden="false" customHeight="true" outlineLevel="0" collapsed="false">
      <c r="A46" s="131" t="s">
        <v>1581</v>
      </c>
      <c r="E46" s="905" t="s">
        <v>22</v>
      </c>
      <c r="F46" s="906" t="s">
        <v>1582</v>
      </c>
      <c r="G46" s="912"/>
      <c r="H46" s="912"/>
      <c r="I46" s="913" t="n">
        <f aca="false">IF(TITLE_DATE_FIL="",TRUE(),FALSE())</f>
        <v>1</v>
      </c>
      <c r="J46" s="914" t="str">
        <f aca="false">"Общая информация о регулируемой организации ("&amp;TEMPLATE_SPHERE_RUS&amp;")"</f>
        <v>Общая информация о регулируемой организации (горячего водоснабжения)</v>
      </c>
      <c r="K46" s="915"/>
      <c r="AX46" s="873" t="s">
        <v>1583</v>
      </c>
      <c r="AZ46" s="873" t="s">
        <v>1271</v>
      </c>
      <c r="BE46" s="873" t="n">
        <v>2044</v>
      </c>
      <c r="BH46" s="874" t="s">
        <v>986</v>
      </c>
      <c r="BJ46" s="889" t="s">
        <v>967</v>
      </c>
      <c r="BL46" s="889" t="s">
        <v>967</v>
      </c>
      <c r="BN46" s="874" t="s">
        <v>1584</v>
      </c>
    </row>
    <row r="47" customFormat="false" ht="11.25" hidden="false" customHeight="true" outlineLevel="0" collapsed="false">
      <c r="A47" s="131" t="s">
        <v>1585</v>
      </c>
      <c r="E47" s="905" t="s">
        <v>28</v>
      </c>
      <c r="F47" s="907" t="s">
        <v>1586</v>
      </c>
      <c r="G47" s="916" t="str">
        <f aca="false">IF(f_year="","",IF(LEN(f_quart)=0,"",IF(f_quart="I квартал","01.01."&amp;f_year,IF(f_quart="II квартал","01.04."&amp;f_year,(IF(f_quart="III квартал","01.07."&amp;f_year,"01.10."&amp;f_year))))))</f>
        <v/>
      </c>
      <c r="H47" s="916" t="str">
        <f aca="false">IF(f_year="","",IF(LEN(f_quart)=0,"",IF(f_quart="I квартал","31.03."&amp;f_year,IF(f_quart="II квартал","30.06."&amp;f_year,(IF(f_quart="III квартал","30.09."&amp;f_year,"31.12."&amp;f_year))))))</f>
        <v/>
      </c>
      <c r="I47" s="917" t="n">
        <f aca="false">IF(OR(f_year="",f_quart=""),TRUE(),FALSE())</f>
        <v>1</v>
      </c>
      <c r="J47" s="914"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915"/>
      <c r="AX47" s="873" t="s">
        <v>1587</v>
      </c>
      <c r="AZ47" s="873" t="s">
        <v>1290</v>
      </c>
      <c r="BE47" s="873" t="n">
        <v>2045</v>
      </c>
      <c r="BH47" s="874" t="s">
        <v>1560</v>
      </c>
      <c r="BJ47" s="889" t="s">
        <v>969</v>
      </c>
      <c r="BL47" s="889" t="s">
        <v>969</v>
      </c>
      <c r="BN47" s="874" t="s">
        <v>1588</v>
      </c>
    </row>
    <row r="48" customFormat="false" ht="11.25" hidden="false" customHeight="true" outlineLevel="0" collapsed="false">
      <c r="A48" s="131" t="s">
        <v>1589</v>
      </c>
      <c r="E48" s="905" t="s">
        <v>1590</v>
      </c>
      <c r="F48" s="907" t="s">
        <v>1591</v>
      </c>
      <c r="G48" s="916" t="str">
        <f aca="false">IF(f_year="","","01.01."&amp;f_year)</f>
        <v/>
      </c>
      <c r="H48" s="916" t="str">
        <f aca="false">IF(f_year="","","31.12."&amp;f_year)</f>
        <v/>
      </c>
      <c r="I48" s="913" t="n">
        <f aca="false">IF(f_year="",TRUE(),FALSE())</f>
        <v>1</v>
      </c>
      <c r="J48" s="914" t="s">
        <v>1592</v>
      </c>
      <c r="K48" s="915"/>
      <c r="AX48" s="873" t="s">
        <v>1593</v>
      </c>
      <c r="AZ48" s="873" t="s">
        <v>1307</v>
      </c>
      <c r="BE48" s="873" t="n">
        <v>2046</v>
      </c>
      <c r="BH48" s="874" t="s">
        <v>1564</v>
      </c>
      <c r="BJ48" s="889" t="s">
        <v>971</v>
      </c>
      <c r="BL48" s="889" t="s">
        <v>971</v>
      </c>
      <c r="BN48" s="874" t="s">
        <v>1594</v>
      </c>
    </row>
    <row r="49" customFormat="false" ht="11.25" hidden="false" customHeight="true" outlineLevel="0" collapsed="false">
      <c r="A49" s="131" t="s">
        <v>1595</v>
      </c>
      <c r="E49" s="905" t="s">
        <v>1596</v>
      </c>
      <c r="F49" s="907" t="s">
        <v>1597</v>
      </c>
      <c r="G49" s="916" t="str">
        <f aca="false">IF(f_year="","","01.01."&amp;f_year)</f>
        <v/>
      </c>
      <c r="H49" s="916" t="str">
        <f aca="false">IF(f_year="","","31.12."&amp;f_year)</f>
        <v/>
      </c>
      <c r="I49" s="913" t="n">
        <f aca="false">IF(f_year="",TRUE(),FALSE())</f>
        <v>1</v>
      </c>
      <c r="J49" s="914"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915"/>
      <c r="AX49" s="873" t="s">
        <v>1598</v>
      </c>
      <c r="AZ49" s="873" t="s">
        <v>1323</v>
      </c>
      <c r="BE49" s="873" t="n">
        <v>2047</v>
      </c>
      <c r="BH49" s="874" t="s">
        <v>987</v>
      </c>
      <c r="BJ49" s="889" t="s">
        <v>973</v>
      </c>
      <c r="BL49" s="889" t="s">
        <v>973</v>
      </c>
    </row>
    <row r="50" customFormat="false" ht="11.25" hidden="false" customHeight="true" outlineLevel="0" collapsed="false">
      <c r="A50" s="131" t="s">
        <v>1599</v>
      </c>
      <c r="E50" s="905" t="s">
        <v>1600</v>
      </c>
      <c r="F50" s="907" t="s">
        <v>957</v>
      </c>
      <c r="G50" s="916" t="str">
        <f aca="false">IF(f_year="","","01.01."&amp;f_year)</f>
        <v/>
      </c>
      <c r="H50" s="916" t="str">
        <f aca="false">IF(f_year="","","31.12."&amp;f_year)</f>
        <v/>
      </c>
      <c r="I50" s="913" t="n">
        <f aca="false">IF(f_year="",TRUE(),FALSE())</f>
        <v>1</v>
      </c>
      <c r="J50" s="914"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915"/>
      <c r="AX50" s="873" t="s">
        <v>1601</v>
      </c>
      <c r="AZ50" s="873" t="s">
        <v>1339</v>
      </c>
      <c r="BE50" s="873" t="n">
        <v>2048</v>
      </c>
      <c r="BH50" s="874" t="s">
        <v>1571</v>
      </c>
      <c r="BJ50" s="889" t="s">
        <v>975</v>
      </c>
      <c r="BL50" s="889" t="s">
        <v>975</v>
      </c>
    </row>
    <row r="51" customFormat="false" ht="11.25" hidden="false" customHeight="true" outlineLevel="0" collapsed="false">
      <c r="A51" s="131" t="s">
        <v>1602</v>
      </c>
      <c r="E51" s="905" t="s">
        <v>1603</v>
      </c>
      <c r="F51" s="907" t="s">
        <v>1604</v>
      </c>
      <c r="G51" s="916" t="str">
        <f aca="false">IF(TITLE_PERIOD_START="","",TITLE_PERIOD_START)</f>
        <v>45292.464004629626</v>
      </c>
      <c r="H51" s="916" t="str">
        <f aca="false">IF(TITLE_PERIOD_END="","",TITLE_PERIOD_END)</f>
        <v>47118.4640625</v>
      </c>
      <c r="I51" s="917" t="n">
        <f aca="false">IF(OR(TITLE_PERIOD_START="",TITLE_PERIOD_END=""),TRUE(),FALSE())</f>
        <v>0</v>
      </c>
      <c r="J51" s="914"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15"/>
      <c r="AX51" s="873" t="s">
        <v>1605</v>
      </c>
      <c r="AZ51" s="873" t="s">
        <v>1354</v>
      </c>
      <c r="BE51" s="873" t="n">
        <v>2049</v>
      </c>
      <c r="BH51" s="874" t="s">
        <v>1580</v>
      </c>
      <c r="BJ51" s="889" t="s">
        <v>1606</v>
      </c>
      <c r="BL51" s="889" t="s">
        <v>1606</v>
      </c>
    </row>
    <row r="52" customFormat="false" ht="11.25" hidden="false" customHeight="true" outlineLevel="0" collapsed="false">
      <c r="A52" s="131" t="s">
        <v>1607</v>
      </c>
      <c r="E52" s="905" t="s">
        <v>1608</v>
      </c>
      <c r="F52" s="907" t="s">
        <v>1574</v>
      </c>
      <c r="G52" s="916" t="str">
        <f aca="false">IF(TITLE_PERIOD_START="","",TITLE_PERIOD_START)</f>
        <v>45292.464004629626</v>
      </c>
      <c r="H52" s="916" t="str">
        <f aca="false">IF(TITLE_PERIOD_END="","",TITLE_PERIOD_END)</f>
        <v>47118.4640625</v>
      </c>
      <c r="I52" s="917" t="n">
        <f aca="false">IF(OR(TITLE_PERIOD_START="",TITLE_PERIOD_END=""),TRUE(),FALSE())</f>
        <v>0</v>
      </c>
      <c r="J52" s="914" t="str">
        <f aca="false">"Показатели,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915"/>
      <c r="AX52" s="873" t="s">
        <v>1609</v>
      </c>
      <c r="AZ52" s="873" t="s">
        <v>557</v>
      </c>
      <c r="BE52" s="873" t="n">
        <v>2050</v>
      </c>
      <c r="BH52" s="874" t="s">
        <v>1584</v>
      </c>
      <c r="BJ52" s="889" t="s">
        <v>986</v>
      </c>
      <c r="BL52" s="889" t="s">
        <v>986</v>
      </c>
    </row>
    <row r="53" customFormat="false" ht="11.25" hidden="false" customHeight="true" outlineLevel="0" collapsed="false">
      <c r="A53" s="131" t="s">
        <v>1610</v>
      </c>
      <c r="E53" s="905" t="s">
        <v>1611</v>
      </c>
      <c r="F53" s="907" t="s">
        <v>1611</v>
      </c>
      <c r="G53" s="916" t="str">
        <f aca="false">IF(f_year="","","01.01."&amp;f_year)</f>
        <v/>
      </c>
      <c r="H53" s="916" t="str">
        <f aca="false">IF(f_year="","","31.12."&amp;f_year)</f>
        <v/>
      </c>
      <c r="I53" s="913" t="n">
        <f aca="false">IF(AND(f_year="",TITLE_DATE_FIL=""),TRUE(),FALSE())</f>
        <v>1</v>
      </c>
      <c r="J53" s="914" t="s">
        <v>1612</v>
      </c>
      <c r="K53" s="915"/>
      <c r="AX53" s="873" t="s">
        <v>1613</v>
      </c>
      <c r="BE53" s="873" t="n">
        <v>2051</v>
      </c>
      <c r="BH53" s="874" t="s">
        <v>1588</v>
      </c>
      <c r="BJ53" s="889" t="s">
        <v>1560</v>
      </c>
      <c r="BL53" s="889" t="s">
        <v>1560</v>
      </c>
    </row>
    <row r="54" customFormat="false" ht="11.25" hidden="false" customHeight="true" outlineLevel="0" collapsed="false">
      <c r="A54" s="131" t="s">
        <v>1614</v>
      </c>
      <c r="AX54" s="873" t="s">
        <v>1615</v>
      </c>
      <c r="AZ54" s="852" t="s">
        <v>1616</v>
      </c>
      <c r="BE54" s="873" t="n">
        <v>2052</v>
      </c>
      <c r="BH54" s="874" t="s">
        <v>1594</v>
      </c>
      <c r="BJ54" s="889" t="s">
        <v>1564</v>
      </c>
      <c r="BL54" s="889" t="s">
        <v>1564</v>
      </c>
    </row>
    <row r="55" customFormat="false" ht="11.25" hidden="false" customHeight="true" outlineLevel="0" collapsed="false">
      <c r="A55" s="131" t="s">
        <v>1617</v>
      </c>
      <c r="AX55" s="873" t="s">
        <v>1618</v>
      </c>
      <c r="AZ55" s="873" t="s">
        <v>1153</v>
      </c>
      <c r="BE55" s="873" t="n">
        <v>2053</v>
      </c>
      <c r="BJ55" s="889" t="s">
        <v>987</v>
      </c>
      <c r="BL55" s="889" t="s">
        <v>987</v>
      </c>
    </row>
    <row r="56" customFormat="false" ht="11.25" hidden="false" customHeight="true" outlineLevel="0" collapsed="false">
      <c r="A56" s="131" t="s">
        <v>1619</v>
      </c>
      <c r="D56" s="918" t="s">
        <v>1620</v>
      </c>
      <c r="E56" s="888" t="n">
        <v>57</v>
      </c>
      <c r="F56" s="131" t="s">
        <v>1621</v>
      </c>
      <c r="AX56" s="873" t="s">
        <v>1622</v>
      </c>
      <c r="AZ56" s="873" t="s">
        <v>1181</v>
      </c>
      <c r="BE56" s="873" t="n">
        <v>2054</v>
      </c>
      <c r="BJ56" s="889" t="s">
        <v>1571</v>
      </c>
      <c r="BL56" s="889" t="s">
        <v>1571</v>
      </c>
    </row>
    <row r="57" customFormat="false" ht="11.25" hidden="false" customHeight="true" outlineLevel="0" collapsed="false">
      <c r="A57" s="131" t="s">
        <v>1623</v>
      </c>
      <c r="D57" s="918" t="s">
        <v>1624</v>
      </c>
      <c r="E57" s="888" t="n">
        <v>66</v>
      </c>
      <c r="F57" s="131" t="s">
        <v>1621</v>
      </c>
      <c r="AX57" s="873" t="s">
        <v>1625</v>
      </c>
      <c r="AZ57" s="873" t="s">
        <v>1216</v>
      </c>
      <c r="BE57" s="873" t="n">
        <v>2055</v>
      </c>
      <c r="BJ57" s="889" t="s">
        <v>1580</v>
      </c>
      <c r="BL57" s="889" t="s">
        <v>1580</v>
      </c>
    </row>
    <row r="58" customFormat="false" ht="11.25" hidden="false" customHeight="true" outlineLevel="0" collapsed="false">
      <c r="A58" s="131" t="s">
        <v>1626</v>
      </c>
      <c r="D58" s="918" t="s">
        <v>1627</v>
      </c>
      <c r="E58" s="888" t="n">
        <v>44</v>
      </c>
      <c r="F58" s="131" t="s">
        <v>1621</v>
      </c>
      <c r="AX58" s="873" t="s">
        <v>1628</v>
      </c>
      <c r="BE58" s="873" t="n">
        <v>2056</v>
      </c>
      <c r="BJ58" s="889" t="s">
        <v>1584</v>
      </c>
      <c r="BL58" s="889" t="s">
        <v>1584</v>
      </c>
    </row>
    <row r="59" customFormat="false" ht="11.25" hidden="false" customHeight="true" outlineLevel="0" collapsed="false">
      <c r="A59" s="131" t="s">
        <v>1629</v>
      </c>
      <c r="D59" s="918" t="s">
        <v>138</v>
      </c>
      <c r="E59" s="888" t="s">
        <v>1451</v>
      </c>
      <c r="F59" s="131" t="s">
        <v>1630</v>
      </c>
      <c r="AX59" s="873" t="s">
        <v>1631</v>
      </c>
      <c r="AZ59" s="852" t="s">
        <v>1632</v>
      </c>
      <c r="BE59" s="873" t="n">
        <v>2057</v>
      </c>
      <c r="BJ59" s="889" t="s">
        <v>1588</v>
      </c>
      <c r="BL59" s="889" t="s">
        <v>1588</v>
      </c>
    </row>
    <row r="60" customFormat="false" ht="11.25" hidden="false" customHeight="true" outlineLevel="0" collapsed="false">
      <c r="A60" s="131" t="s">
        <v>1633</v>
      </c>
      <c r="D60" s="918" t="s">
        <v>1634</v>
      </c>
      <c r="E60" s="888" t="s">
        <v>1451</v>
      </c>
      <c r="F60" s="131" t="s">
        <v>1630</v>
      </c>
      <c r="AX60" s="873" t="s">
        <v>1635</v>
      </c>
      <c r="AZ60" s="873" t="s">
        <v>1154</v>
      </c>
      <c r="BE60" s="873" t="n">
        <v>2058</v>
      </c>
      <c r="BJ60" s="889" t="s">
        <v>1594</v>
      </c>
      <c r="BL60" s="889" t="s">
        <v>1594</v>
      </c>
    </row>
    <row r="61" customFormat="false" ht="11.25" hidden="false" customHeight="true" outlineLevel="0" collapsed="false">
      <c r="A61" s="131" t="s">
        <v>1636</v>
      </c>
      <c r="D61" s="918" t="s">
        <v>1637</v>
      </c>
      <c r="E61" s="888" t="n">
        <v>26</v>
      </c>
      <c r="F61" s="131" t="s">
        <v>1630</v>
      </c>
      <c r="AX61" s="873" t="s">
        <v>1638</v>
      </c>
      <c r="AZ61" s="873" t="s">
        <v>1182</v>
      </c>
      <c r="BE61" s="873" t="n">
        <v>2059</v>
      </c>
      <c r="BL61" s="889" t="s">
        <v>979</v>
      </c>
    </row>
    <row r="62" customFormat="false" ht="11.25" hidden="false" customHeight="true" outlineLevel="0" collapsed="false">
      <c r="A62" s="131" t="s">
        <v>1639</v>
      </c>
      <c r="D62" s="918" t="s">
        <v>137</v>
      </c>
      <c r="E62" s="888" t="n">
        <v>32</v>
      </c>
      <c r="F62" s="131" t="s">
        <v>1630</v>
      </c>
      <c r="AZ62" s="873" t="s">
        <v>1217</v>
      </c>
      <c r="BE62" s="873" t="n">
        <v>2060</v>
      </c>
      <c r="BL62" s="889" t="s">
        <v>981</v>
      </c>
    </row>
    <row r="63" customFormat="false" ht="11.25" hidden="false" customHeight="true" outlineLevel="0" collapsed="false">
      <c r="A63" s="131" t="s">
        <v>1640</v>
      </c>
      <c r="D63" s="918" t="s">
        <v>1641</v>
      </c>
      <c r="E63" s="888" t="n">
        <v>32</v>
      </c>
      <c r="F63" s="131" t="s">
        <v>1630</v>
      </c>
      <c r="AZ63" s="873" t="s">
        <v>1249</v>
      </c>
      <c r="BE63" s="873" t="n">
        <v>2061</v>
      </c>
    </row>
    <row r="64" customFormat="false" ht="11.25" hidden="false" customHeight="true" outlineLevel="0" collapsed="false">
      <c r="A64" s="131" t="s">
        <v>1642</v>
      </c>
      <c r="D64" s="918" t="s">
        <v>1643</v>
      </c>
      <c r="E64" s="888" t="n">
        <v>32</v>
      </c>
      <c r="F64" s="131" t="s">
        <v>1630</v>
      </c>
      <c r="AZ64" s="873" t="s">
        <v>1272</v>
      </c>
      <c r="BE64" s="873" t="n">
        <v>2062</v>
      </c>
    </row>
    <row r="65" customFormat="false" ht="11.25" hidden="false" customHeight="true" outlineLevel="0" collapsed="false">
      <c r="A65" s="131" t="s">
        <v>1644</v>
      </c>
      <c r="D65" s="131"/>
      <c r="BE65" s="873" t="n">
        <v>2063</v>
      </c>
    </row>
    <row r="66" customFormat="false" ht="11.25" hidden="false" customHeight="true" outlineLevel="0" collapsed="false">
      <c r="A66" s="131" t="s">
        <v>1645</v>
      </c>
      <c r="AZ66" s="852" t="s">
        <v>1646</v>
      </c>
      <c r="BE66" s="873" t="n">
        <v>2064</v>
      </c>
    </row>
    <row r="67" customFormat="false" ht="11.25" hidden="false" customHeight="true" outlineLevel="0" collapsed="false">
      <c r="A67" s="131" t="s">
        <v>1647</v>
      </c>
      <c r="AZ67" s="873" t="s">
        <v>1155</v>
      </c>
      <c r="BE67" s="873" t="n">
        <v>2065</v>
      </c>
    </row>
    <row r="68" customFormat="false" ht="11.25" hidden="false" customHeight="true" outlineLevel="0" collapsed="false">
      <c r="A68" s="131" t="s">
        <v>1648</v>
      </c>
      <c r="AZ68" s="873" t="s">
        <v>1183</v>
      </c>
      <c r="BE68" s="873" t="n">
        <v>2066</v>
      </c>
      <c r="BH68" s="852" t="s">
        <v>1649</v>
      </c>
      <c r="BJ68" s="852" t="s">
        <v>1650</v>
      </c>
      <c r="BL68" s="852" t="s">
        <v>1651</v>
      </c>
      <c r="BN68" s="852" t="s">
        <v>1652</v>
      </c>
    </row>
    <row r="69" customFormat="false" ht="11.25" hidden="false" customHeight="true" outlineLevel="0" collapsed="false">
      <c r="A69" s="131" t="s">
        <v>1653</v>
      </c>
      <c r="AZ69" s="873" t="s">
        <v>1218</v>
      </c>
      <c r="BE69" s="873" t="n">
        <v>2067</v>
      </c>
      <c r="BH69" s="874" t="s">
        <v>1654</v>
      </c>
      <c r="BI69" s="222" t="s">
        <v>117</v>
      </c>
      <c r="BJ69" s="874" t="s">
        <v>1655</v>
      </c>
      <c r="BK69" s="222" t="s">
        <v>117</v>
      </c>
      <c r="BL69" s="874" t="s">
        <v>1656</v>
      </c>
      <c r="BN69" s="874" t="s">
        <v>1657</v>
      </c>
    </row>
    <row r="70" customFormat="false" ht="11.25" hidden="false" customHeight="true" outlineLevel="0" collapsed="false">
      <c r="A70" s="131" t="s">
        <v>1658</v>
      </c>
      <c r="AZ70" s="873" t="s">
        <v>1250</v>
      </c>
      <c r="BE70" s="873" t="n">
        <v>2068</v>
      </c>
      <c r="BH70" s="874" t="s">
        <v>1659</v>
      </c>
      <c r="BJ70" s="874" t="s">
        <v>1660</v>
      </c>
      <c r="BL70" s="874" t="s">
        <v>1661</v>
      </c>
      <c r="BN70" s="874" t="s">
        <v>1662</v>
      </c>
    </row>
    <row r="71" customFormat="false" ht="11.25" hidden="false" customHeight="true" outlineLevel="0" collapsed="false">
      <c r="A71" s="131" t="s">
        <v>1663</v>
      </c>
      <c r="AZ71" s="873" t="s">
        <v>1252</v>
      </c>
      <c r="BE71" s="873" t="n">
        <v>2069</v>
      </c>
      <c r="BH71" s="874" t="s">
        <v>1664</v>
      </c>
      <c r="BI71" s="222" t="s">
        <v>86</v>
      </c>
      <c r="BJ71" s="874" t="s">
        <v>1665</v>
      </c>
      <c r="BK71" s="222" t="s">
        <v>86</v>
      </c>
      <c r="BL71" s="874" t="s">
        <v>1666</v>
      </c>
      <c r="BN71" s="874" t="s">
        <v>1667</v>
      </c>
    </row>
    <row r="72" customFormat="false" ht="11.25" hidden="false" customHeight="true" outlineLevel="0" collapsed="false">
      <c r="A72" s="131" t="s">
        <v>1668</v>
      </c>
      <c r="AZ72" s="873" t="s">
        <v>53</v>
      </c>
      <c r="BE72" s="873" t="n">
        <v>2070</v>
      </c>
      <c r="BH72" s="874" t="s">
        <v>1669</v>
      </c>
      <c r="BJ72" s="874" t="s">
        <v>1669</v>
      </c>
      <c r="BL72" s="874" t="s">
        <v>1669</v>
      </c>
      <c r="BN72" s="874" t="s">
        <v>1670</v>
      </c>
    </row>
    <row r="73" customFormat="false" ht="11.25" hidden="false" customHeight="true" outlineLevel="0" collapsed="false">
      <c r="A73" s="131" t="s">
        <v>1671</v>
      </c>
      <c r="BH73" s="874" t="s">
        <v>1672</v>
      </c>
      <c r="BI73" s="222" t="s">
        <v>118</v>
      </c>
      <c r="BJ73" s="874" t="s">
        <v>1673</v>
      </c>
      <c r="BK73" s="222" t="s">
        <v>118</v>
      </c>
      <c r="BL73" s="874" t="s">
        <v>1674</v>
      </c>
      <c r="BN73" s="874" t="s">
        <v>1675</v>
      </c>
    </row>
    <row r="74" customFormat="false" ht="11.25" hidden="false" customHeight="true" outlineLevel="0" collapsed="false">
      <c r="A74" s="131" t="s">
        <v>1676</v>
      </c>
      <c r="BH74" s="874" t="s">
        <v>1677</v>
      </c>
      <c r="BJ74" s="874" t="s">
        <v>1678</v>
      </c>
      <c r="BL74" s="874" t="s">
        <v>1679</v>
      </c>
      <c r="BN74" s="874" t="s">
        <v>1680</v>
      </c>
    </row>
    <row r="75" customFormat="false" ht="11.25" hidden="false" customHeight="true" outlineLevel="0" collapsed="false">
      <c r="A75" s="131" t="s">
        <v>1681</v>
      </c>
      <c r="AZ75" s="852" t="s">
        <v>1682</v>
      </c>
      <c r="BH75" s="874" t="s">
        <v>1683</v>
      </c>
      <c r="BJ75" s="874" t="s">
        <v>1683</v>
      </c>
      <c r="BL75" s="874" t="s">
        <v>1683</v>
      </c>
    </row>
    <row r="76" customFormat="false" ht="11.25" hidden="false" customHeight="true" outlineLevel="0" collapsed="false">
      <c r="A76" s="131" t="s">
        <v>1684</v>
      </c>
      <c r="AZ76" s="873" t="s">
        <v>1164</v>
      </c>
      <c r="BH76" s="874" t="s">
        <v>1685</v>
      </c>
      <c r="BJ76" s="874" t="s">
        <v>1686</v>
      </c>
      <c r="BL76" s="919" t="s">
        <v>1687</v>
      </c>
    </row>
    <row r="77" customFormat="false" ht="11.25" hidden="false" customHeight="true" outlineLevel="0" collapsed="false">
      <c r="A77" s="131" t="s">
        <v>1688</v>
      </c>
      <c r="AZ77" s="873" t="s">
        <v>1193</v>
      </c>
    </row>
    <row r="78" customFormat="false" ht="11.25" hidden="false" customHeight="true" outlineLevel="0" collapsed="false">
      <c r="A78" s="131" t="s">
        <v>1689</v>
      </c>
      <c r="AZ78" s="873" t="s">
        <v>1225</v>
      </c>
    </row>
    <row r="79" customFormat="false" ht="11.25" hidden="false" customHeight="true" outlineLevel="0" collapsed="false">
      <c r="A79" s="131" t="s">
        <v>1690</v>
      </c>
      <c r="AZ79" s="873" t="s">
        <v>1256</v>
      </c>
      <c r="BH79" s="852" t="s">
        <v>1691</v>
      </c>
      <c r="BJ79" s="852" t="s">
        <v>1692</v>
      </c>
      <c r="BL79" s="852" t="s">
        <v>1693</v>
      </c>
    </row>
    <row r="80" customFormat="false" ht="11.25" hidden="false" customHeight="true" outlineLevel="0" collapsed="false">
      <c r="A80" s="131" t="s">
        <v>1694</v>
      </c>
      <c r="AZ80" s="873" t="s">
        <v>1277</v>
      </c>
      <c r="BH80" s="874" t="s">
        <v>1695</v>
      </c>
      <c r="BJ80" s="874" t="s">
        <v>1696</v>
      </c>
      <c r="BL80" s="874" t="s">
        <v>1697</v>
      </c>
    </row>
    <row r="81" customFormat="false" ht="11.25" hidden="false" customHeight="true" outlineLevel="0" collapsed="false">
      <c r="A81" s="131" t="s">
        <v>1698</v>
      </c>
      <c r="AZ81" s="873" t="s">
        <v>1294</v>
      </c>
      <c r="BH81" s="874" t="s">
        <v>1699</v>
      </c>
      <c r="BJ81" s="874" t="s">
        <v>1700</v>
      </c>
      <c r="BL81" s="874" t="s">
        <v>1701</v>
      </c>
    </row>
    <row r="82" customFormat="false" ht="11.25" hidden="false" customHeight="true" outlineLevel="0" collapsed="false">
      <c r="A82" s="131" t="s">
        <v>1702</v>
      </c>
      <c r="AZ82" s="873" t="s">
        <v>1309</v>
      </c>
      <c r="BH82" s="874" t="s">
        <v>1703</v>
      </c>
      <c r="BJ82" s="874" t="s">
        <v>1704</v>
      </c>
      <c r="BL82" s="874" t="s">
        <v>1705</v>
      </c>
    </row>
    <row r="83" customFormat="false" ht="11.25" hidden="false" customHeight="true" outlineLevel="0" collapsed="false">
      <c r="A83" s="131" t="s">
        <v>1706</v>
      </c>
      <c r="BH83" s="874" t="s">
        <v>1707</v>
      </c>
      <c r="BJ83" s="874" t="s">
        <v>1708</v>
      </c>
      <c r="BL83" s="874" t="s">
        <v>1709</v>
      </c>
    </row>
    <row r="84" customFormat="false" ht="11.25" hidden="false" customHeight="true" outlineLevel="0" collapsed="false">
      <c r="A84" s="131" t="s">
        <v>1710</v>
      </c>
      <c r="AZ84" s="852" t="s">
        <v>1711</v>
      </c>
    </row>
    <row r="85" customFormat="false" ht="11.25" hidden="false" customHeight="true" outlineLevel="0" collapsed="false">
      <c r="A85" s="892" t="s">
        <v>1712</v>
      </c>
      <c r="AZ85" s="873" t="s">
        <v>1713</v>
      </c>
    </row>
    <row r="86" customFormat="false" ht="11.25" hidden="false" customHeight="true" outlineLevel="0" collapsed="false">
      <c r="A86" s="131" t="s">
        <v>1714</v>
      </c>
      <c r="AZ86" s="873" t="s">
        <v>1715</v>
      </c>
      <c r="BH86" s="852" t="s">
        <v>1716</v>
      </c>
      <c r="BJ86" s="852" t="s">
        <v>1717</v>
      </c>
      <c r="BL86" s="852" t="s">
        <v>1718</v>
      </c>
    </row>
    <row r="87" customFormat="false" ht="11.25" hidden="false" customHeight="true" outlineLevel="0" collapsed="false">
      <c r="A87" s="131" t="s">
        <v>1719</v>
      </c>
      <c r="AZ87" s="873" t="s">
        <v>1720</v>
      </c>
      <c r="BH87" s="874" t="s">
        <v>1721</v>
      </c>
      <c r="BJ87" s="874" t="s">
        <v>1722</v>
      </c>
      <c r="BL87" s="874" t="s">
        <v>1723</v>
      </c>
    </row>
    <row r="88" customFormat="false" ht="11.25" hidden="false" customHeight="true" outlineLevel="0" collapsed="false">
      <c r="A88" s="131" t="s">
        <v>1724</v>
      </c>
      <c r="AZ88" s="53"/>
      <c r="BH88" s="874" t="s">
        <v>1725</v>
      </c>
      <c r="BJ88" s="874" t="s">
        <v>1726</v>
      </c>
      <c r="BL88" s="874" t="s">
        <v>1727</v>
      </c>
    </row>
    <row r="89" customFormat="false" ht="11.25" hidden="false" customHeight="true" outlineLevel="0" collapsed="false">
      <c r="A89" s="131" t="s">
        <v>1728</v>
      </c>
      <c r="AZ89" s="852" t="s">
        <v>1729</v>
      </c>
    </row>
    <row r="90" customFormat="false" ht="11.25" hidden="false" customHeight="true" outlineLevel="0" collapsed="false">
      <c r="A90" s="131" t="s">
        <v>1730</v>
      </c>
      <c r="AZ90" s="873" t="s">
        <v>957</v>
      </c>
    </row>
    <row r="91" customFormat="false" ht="11.25" hidden="false" customHeight="true" outlineLevel="0" collapsed="false">
      <c r="A91" s="131" t="s">
        <v>14</v>
      </c>
      <c r="AZ91" s="873" t="s">
        <v>993</v>
      </c>
      <c r="BH91" s="852" t="s">
        <v>1731</v>
      </c>
      <c r="BJ91" s="852" t="s">
        <v>1732</v>
      </c>
      <c r="BL91" s="852" t="s">
        <v>1733</v>
      </c>
    </row>
    <row r="92" customFormat="false" ht="11.25" hidden="false" customHeight="true" outlineLevel="0" collapsed="false">
      <c r="AZ92" s="873" t="s">
        <v>1734</v>
      </c>
      <c r="BH92" s="874" t="s">
        <v>1735</v>
      </c>
      <c r="BJ92" s="874" t="s">
        <v>1736</v>
      </c>
      <c r="BL92" s="874" t="s">
        <v>1737</v>
      </c>
    </row>
    <row r="93" customFormat="false" ht="11.25" hidden="false" customHeight="true" outlineLevel="0" collapsed="false">
      <c r="AZ93" s="873" t="s">
        <v>1738</v>
      </c>
      <c r="BH93" s="874" t="s">
        <v>1739</v>
      </c>
      <c r="BJ93" s="874" t="s">
        <v>1740</v>
      </c>
      <c r="BL93" s="874" t="s">
        <v>1741</v>
      </c>
    </row>
    <row r="94" customFormat="false" ht="11.25" hidden="false" customHeight="true" outlineLevel="0" collapsed="false">
      <c r="AZ94" s="873" t="s">
        <v>1742</v>
      </c>
    </row>
    <row r="96" customFormat="false" ht="11.25" hidden="false" customHeight="true" outlineLevel="0" collapsed="false">
      <c r="AZ96" s="852" t="s">
        <v>1743</v>
      </c>
      <c r="BH96" s="852" t="s">
        <v>1744</v>
      </c>
      <c r="BJ96" s="852" t="s">
        <v>1745</v>
      </c>
      <c r="BL96" s="852" t="s">
        <v>1746</v>
      </c>
      <c r="BN96" s="852" t="s">
        <v>1747</v>
      </c>
    </row>
    <row r="97" customFormat="false" ht="11.25" hidden="false" customHeight="true" outlineLevel="0" collapsed="false">
      <c r="AZ97" s="920" t="s">
        <v>1748</v>
      </c>
      <c r="BA97" s="491" t="s">
        <v>1749</v>
      </c>
      <c r="BH97" s="874" t="s">
        <v>1750</v>
      </c>
      <c r="BJ97" s="874" t="s">
        <v>1751</v>
      </c>
      <c r="BL97" s="874" t="s">
        <v>1752</v>
      </c>
      <c r="BN97" s="874" t="s">
        <v>1753</v>
      </c>
    </row>
    <row r="98" customFormat="false" ht="11.25" hidden="false" customHeight="true" outlineLevel="0" collapsed="false">
      <c r="AZ98" s="920" t="s">
        <v>1754</v>
      </c>
      <c r="BA98" s="491" t="s">
        <v>1755</v>
      </c>
      <c r="BH98" s="874" t="s">
        <v>1756</v>
      </c>
      <c r="BJ98" s="874" t="s">
        <v>1757</v>
      </c>
      <c r="BL98" s="874" t="s">
        <v>1758</v>
      </c>
      <c r="BN98" s="874" t="s">
        <v>1759</v>
      </c>
    </row>
    <row r="99" customFormat="false" ht="22.5" hidden="false" customHeight="true" outlineLevel="0" collapsed="false">
      <c r="AZ99" s="920" t="s">
        <v>1760</v>
      </c>
      <c r="BA99" s="491" t="str">
        <f aca="false">"не позднее чем за "&amp;IF(TEMPLATE_SPHERE="TKO","3","10")&amp;" дней до дня проведения заседания правления"</f>
        <v>не позднее чем за 10 дней до дня проведения заседания правления</v>
      </c>
      <c r="BH99" s="874" t="s">
        <v>1761</v>
      </c>
      <c r="BJ99" s="874" t="s">
        <v>1762</v>
      </c>
      <c r="BL99" s="874" t="s">
        <v>1763</v>
      </c>
      <c r="BN99" s="874" t="s">
        <v>1764</v>
      </c>
    </row>
    <row r="100" customFormat="false" ht="22.5" hidden="false" customHeight="true" outlineLevel="0" collapsed="false">
      <c r="AZ100" s="920" t="s">
        <v>1765</v>
      </c>
      <c r="BA100" s="491"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874" t="s">
        <v>1354</v>
      </c>
      <c r="BL100" s="874" t="s">
        <v>1354</v>
      </c>
      <c r="BN100" s="874" t="s">
        <v>1766</v>
      </c>
    </row>
    <row r="101" customFormat="false" ht="22.5" hidden="false" customHeight="true" outlineLevel="0" collapsed="false">
      <c r="AZ101" s="920" t="s">
        <v>1767</v>
      </c>
      <c r="BA101" s="491" t="s">
        <v>1768</v>
      </c>
      <c r="BN101" s="874" t="s">
        <v>1769</v>
      </c>
    </row>
    <row r="102" customFormat="false" ht="22.5" hidden="false" customHeight="true" outlineLevel="0" collapsed="false">
      <c r="AZ102" s="920" t="s">
        <v>1770</v>
      </c>
      <c r="BA102" s="491"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874" t="s">
        <v>1771</v>
      </c>
    </row>
    <row r="103" customFormat="false" ht="11.25" hidden="false" customHeight="true" outlineLevel="0" collapsed="false">
      <c r="AZ103" s="920" t="s">
        <v>1772</v>
      </c>
      <c r="BA103" s="491" t="s">
        <v>1773</v>
      </c>
      <c r="BN103" s="874" t="s">
        <v>1774</v>
      </c>
    </row>
    <row r="104" customFormat="false" ht="11.25" hidden="false" customHeight="true" outlineLevel="0" collapsed="false">
      <c r="BN104" s="874" t="s">
        <v>1775</v>
      </c>
    </row>
    <row r="105" customFormat="false" ht="11.25" hidden="false" customHeight="true" outlineLevel="0" collapsed="false">
      <c r="AZ105" s="852" t="s">
        <v>1776</v>
      </c>
    </row>
    <row r="106" customFormat="false" ht="11.25" hidden="false" customHeight="true" outlineLevel="0" collapsed="false">
      <c r="AZ106" s="873" t="s">
        <v>1777</v>
      </c>
    </row>
    <row r="107" customFormat="false" ht="11.25" hidden="false" customHeight="true" outlineLevel="0" collapsed="false">
      <c r="AZ107" s="873" t="s">
        <v>1778</v>
      </c>
      <c r="BH107" s="852" t="s">
        <v>1779</v>
      </c>
      <c r="BJ107" s="852" t="s">
        <v>1780</v>
      </c>
      <c r="BL107" s="852" t="s">
        <v>1781</v>
      </c>
      <c r="BN107" s="852" t="s">
        <v>1782</v>
      </c>
    </row>
    <row r="108" customFormat="false" ht="11.25" hidden="false" customHeight="true" outlineLevel="0" collapsed="false">
      <c r="AZ108" s="873" t="s">
        <v>592</v>
      </c>
      <c r="BH108" s="874" t="s">
        <v>1783</v>
      </c>
      <c r="BJ108" s="874" t="s">
        <v>1784</v>
      </c>
      <c r="BL108" s="874" t="s">
        <v>1439</v>
      </c>
      <c r="BN108" s="874" t="s">
        <v>1785</v>
      </c>
    </row>
    <row r="109" customFormat="false" ht="11.25" hidden="false" customHeight="true" outlineLevel="0" collapsed="false">
      <c r="BH109" s="874" t="s">
        <v>1786</v>
      </c>
    </row>
    <row r="110" customFormat="false" ht="11.25" hidden="false" customHeight="true" outlineLevel="0" collapsed="false">
      <c r="AZ110" s="852" t="s">
        <v>1787</v>
      </c>
      <c r="BH110" s="874" t="s">
        <v>1786</v>
      </c>
    </row>
    <row r="111" customFormat="false" ht="11.25" hidden="false" customHeight="true" outlineLevel="0" collapsed="false">
      <c r="AZ111" s="920" t="s">
        <v>1748</v>
      </c>
      <c r="BA111" s="491" t="s">
        <v>1749</v>
      </c>
    </row>
    <row r="112" customFormat="false" ht="11.25" hidden="false" customHeight="true" outlineLevel="0" collapsed="false">
      <c r="AZ112" s="920" t="s">
        <v>1754</v>
      </c>
      <c r="BA112" s="491" t="s">
        <v>1755</v>
      </c>
    </row>
    <row r="113" customFormat="false" ht="22.5" hidden="false" customHeight="true" outlineLevel="0" collapsed="false">
      <c r="AZ113" s="920" t="s">
        <v>1760</v>
      </c>
      <c r="BA113" s="491" t="str">
        <f aca="false">"не позднее чем за "&amp;IF(TEMPLATE_SPHERE="TKO","3","10")&amp;" дней до дня проведения заседания правления"</f>
        <v>не позднее чем за 10 дней до дня проведения заседания правления</v>
      </c>
    </row>
    <row r="114" customFormat="false" ht="22.5" hidden="false" customHeight="true" outlineLevel="0" collapsed="false">
      <c r="AZ114" s="920" t="s">
        <v>1765</v>
      </c>
      <c r="BA114" s="491"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852" t="s">
        <v>1788</v>
      </c>
    </row>
    <row r="115" customFormat="false" ht="22.5" hidden="false" customHeight="true" outlineLevel="0" collapsed="false">
      <c r="AZ115" s="920" t="s">
        <v>1770</v>
      </c>
      <c r="BA115" s="491"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874" t="s">
        <v>557</v>
      </c>
    </row>
    <row r="116" customFormat="false" ht="11.25" hidden="false" customHeight="true" outlineLevel="0" collapsed="false">
      <c r="AZ116" s="920" t="s">
        <v>1772</v>
      </c>
      <c r="BA116" s="491" t="s">
        <v>1773</v>
      </c>
      <c r="BH116" s="874" t="s">
        <v>1179</v>
      </c>
    </row>
    <row r="117" customFormat="false" ht="11.25" hidden="false" customHeight="true" outlineLevel="0" collapsed="false">
      <c r="BH117" s="874" t="s">
        <v>1214</v>
      </c>
    </row>
    <row r="118" customFormat="false" ht="11.25" hidden="false" customHeight="true" outlineLevel="0" collapsed="false">
      <c r="BH118" s="874" t="s">
        <v>1247</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true" outlineLevel="0" max="2" min="1" style="289" width="15"/>
    <col collapsed="false" customWidth="true" hidden="false" outlineLevel="0" max="3" min="3" style="290" width="3.71"/>
    <col collapsed="false" customWidth="true" hidden="false" outlineLevel="0" max="4" min="4" style="291" width="6.85"/>
    <col collapsed="false" customWidth="true" hidden="false" outlineLevel="0" max="5" min="5" style="290" width="52.28"/>
    <col collapsed="false" customWidth="true" hidden="false" outlineLevel="0" max="6" min="6" style="290" width="48.85"/>
    <col collapsed="false" customWidth="true" hidden="false" outlineLevel="0" max="7" min="7" style="290" width="93.42"/>
    <col collapsed="false" customWidth="false" hidden="false" outlineLevel="0" max="8" min="8" style="290" width="9.14"/>
    <col collapsed="false" customWidth="true" hidden="false" outlineLevel="0" max="9" min="9" style="290" width="65"/>
  </cols>
  <sheetData>
    <row r="1" customFormat="false" ht="11.25" hidden="true" customHeight="true" outlineLevel="0" collapsed="false">
      <c r="A1" s="289" t="s">
        <v>315</v>
      </c>
    </row>
    <row r="2" customFormat="false" ht="22.5" hidden="true" customHeight="true" outlineLevel="0" collapsed="false">
      <c r="A2" s="297"/>
      <c r="B2" s="297"/>
      <c r="C2" s="816" t="s">
        <v>100</v>
      </c>
      <c r="D2" s="921"/>
      <c r="E2" s="337"/>
      <c r="F2" s="555"/>
      <c r="H2" s="306"/>
    </row>
    <row r="3" customFormat="false" ht="11.25" hidden="true" customHeight="true" outlineLevel="0" collapsed="false"/>
    <row r="4" customFormat="false" ht="11.25" hidden="false" customHeight="true" outlineLevel="0" collapsed="false">
      <c r="A4" s="922"/>
      <c r="B4" s="922"/>
    </row>
    <row r="5" customFormat="false" ht="26.25" hidden="false" customHeight="true" outlineLevel="0" collapsed="false">
      <c r="D5" s="175" t="str">
        <f aca="false">"Форма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75"/>
      <c r="F5" s="175"/>
      <c r="I5" s="294"/>
    </row>
    <row r="6" customFormat="false" ht="17.25" hidden="false" customHeight="true" outlineLevel="0" collapsed="false">
      <c r="D6" s="265" t="str">
        <f aca="false">IF(region_name=0,"Не определено",region_name)</f>
        <v>Ярославская область</v>
      </c>
      <c r="E6" s="265"/>
      <c r="F6" s="265"/>
      <c r="I6" s="294"/>
    </row>
    <row r="7" s="292" customFormat="true" ht="11.25" hidden="false" customHeight="true" outlineLevel="0" collapsed="false">
      <c r="A7" s="289"/>
      <c r="B7" s="289"/>
      <c r="D7" s="295"/>
      <c r="E7" s="295"/>
      <c r="F7" s="296"/>
      <c r="G7" s="295"/>
    </row>
    <row r="8" customFormat="false" ht="11.25" hidden="true" customHeight="true" outlineLevel="0" collapsed="false">
      <c r="A8" s="297"/>
      <c r="B8" s="297"/>
      <c r="C8" s="79"/>
      <c r="D8" s="72"/>
      <c r="E8" s="298"/>
      <c r="F8" s="298"/>
    </row>
    <row r="9" customFormat="false" ht="11.25" hidden="false" customHeight="true" outlineLevel="0" collapsed="false">
      <c r="A9" s="297"/>
      <c r="B9" s="297"/>
      <c r="C9" s="79"/>
      <c r="D9" s="299" t="s">
        <v>316</v>
      </c>
      <c r="E9" s="299"/>
      <c r="F9" s="299"/>
      <c r="G9" s="300" t="s">
        <v>317</v>
      </c>
    </row>
    <row r="10" customFormat="false" ht="11.25" hidden="false" customHeight="true" outlineLevel="0" collapsed="false">
      <c r="A10" s="297"/>
      <c r="B10" s="297"/>
      <c r="C10" s="79"/>
      <c r="D10" s="301" t="s">
        <v>84</v>
      </c>
      <c r="E10" s="300" t="s">
        <v>318</v>
      </c>
      <c r="F10" s="300" t="s">
        <v>319</v>
      </c>
      <c r="G10" s="300"/>
    </row>
    <row r="11" customFormat="false" ht="0.75" hidden="false" customHeight="true" outlineLevel="0" collapsed="false">
      <c r="A11" s="297"/>
      <c r="B11" s="297"/>
      <c r="C11" s="79"/>
      <c r="D11" s="302"/>
      <c r="E11" s="302"/>
      <c r="F11" s="302"/>
      <c r="G11" s="302"/>
    </row>
    <row r="12" customFormat="false" ht="22.5" hidden="false" customHeight="true" outlineLevel="0" collapsed="false">
      <c r="A12" s="297"/>
      <c r="B12" s="297"/>
      <c r="C12" s="79"/>
      <c r="D12" s="921" t="n">
        <v>1</v>
      </c>
      <c r="E12" s="309" t="str">
        <f aca="false">"Наименование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423" t="str">
        <f aca="false">IF(org="","",org)</f>
        <v>ООО "Газпром теплоэнерго Ярославль"</v>
      </c>
      <c r="G12" s="309" t="str">
        <f aca="false">"Указывается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923"/>
    </row>
    <row r="13" customFormat="false" ht="18.75" hidden="false" customHeight="true" outlineLevel="0" collapsed="false">
      <c r="A13" s="297"/>
      <c r="B13" s="297"/>
      <c r="C13" s="79"/>
      <c r="D13" s="921" t="n">
        <v>2</v>
      </c>
      <c r="E13" s="419" t="s">
        <v>1789</v>
      </c>
      <c r="F13" s="145" t="s">
        <v>322</v>
      </c>
      <c r="G13" s="309"/>
      <c r="H13" s="923"/>
    </row>
    <row r="14" customFormat="false" ht="18.75" hidden="false" customHeight="true" outlineLevel="0" collapsed="false">
      <c r="A14" s="297"/>
      <c r="B14" s="297"/>
      <c r="C14" s="79"/>
      <c r="D14" s="286" t="s">
        <v>643</v>
      </c>
      <c r="E14" s="557" t="s">
        <v>1790</v>
      </c>
      <c r="F14" s="337"/>
      <c r="G14" s="420" t="s">
        <v>1791</v>
      </c>
      <c r="H14" s="923"/>
    </row>
    <row r="15" customFormat="false" ht="18.75" hidden="false" customHeight="true" outlineLevel="0" collapsed="false">
      <c r="A15" s="297"/>
      <c r="B15" s="297"/>
      <c r="C15" s="79"/>
      <c r="D15" s="286" t="s">
        <v>323</v>
      </c>
      <c r="E15" s="557" t="s">
        <v>1792</v>
      </c>
      <c r="F15" s="337"/>
      <c r="G15" s="420" t="s">
        <v>1793</v>
      </c>
      <c r="H15" s="923"/>
    </row>
    <row r="16" customFormat="false" ht="22.5" hidden="false" customHeight="true" outlineLevel="0" collapsed="false">
      <c r="A16" s="297"/>
      <c r="B16" s="297"/>
      <c r="C16" s="79"/>
      <c r="D16" s="286" t="s">
        <v>326</v>
      </c>
      <c r="E16" s="427" t="s">
        <v>1794</v>
      </c>
      <c r="F16" s="245"/>
      <c r="G16" s="309" t="s">
        <v>1795</v>
      </c>
      <c r="H16" s="923"/>
    </row>
    <row r="17" customFormat="false" ht="45" hidden="false" customHeight="true" outlineLevel="0" collapsed="false">
      <c r="A17" s="297"/>
      <c r="B17" s="297"/>
      <c r="C17" s="79"/>
      <c r="D17" s="921" t="n">
        <v>3</v>
      </c>
      <c r="E17" s="419" t="s">
        <v>1796</v>
      </c>
      <c r="F17" s="337"/>
      <c r="G17" s="309" t="s">
        <v>1797</v>
      </c>
      <c r="H17" s="923"/>
    </row>
    <row r="18" customFormat="false" ht="45" hidden="false" customHeight="true" outlineLevel="0" collapsed="false">
      <c r="A18" s="924" t="n">
        <v>1</v>
      </c>
      <c r="B18" s="297"/>
      <c r="C18" s="314"/>
      <c r="D18" s="921" t="s">
        <v>87</v>
      </c>
      <c r="E18" s="419" t="s">
        <v>1798</v>
      </c>
      <c r="F18" s="337"/>
      <c r="G18" s="309" t="s">
        <v>1797</v>
      </c>
      <c r="H18" s="923"/>
      <c r="I18" s="315"/>
    </row>
    <row r="19" customFormat="false" ht="22.5" hidden="false" customHeight="true" outlineLevel="0" collapsed="false">
      <c r="A19" s="297"/>
      <c r="B19" s="297"/>
      <c r="C19" s="79"/>
      <c r="D19" s="921" t="s">
        <v>118</v>
      </c>
      <c r="E19" s="419" t="s">
        <v>1799</v>
      </c>
      <c r="F19" s="145" t="s">
        <v>322</v>
      </c>
      <c r="G19" s="925" t="s">
        <v>1800</v>
      </c>
      <c r="H19" s="306"/>
    </row>
    <row r="20" s="928" customFormat="true" ht="5.25" hidden="true" customHeight="true" outlineLevel="0" collapsed="false">
      <c r="A20" s="297"/>
      <c r="B20" s="297"/>
      <c r="C20" s="926"/>
      <c r="D20" s="927" t="s">
        <v>1054</v>
      </c>
      <c r="E20" s="327"/>
      <c r="F20" s="146"/>
      <c r="G20" s="925"/>
    </row>
    <row r="21" customFormat="false" ht="15" hidden="false" customHeight="true" outlineLevel="0" collapsed="false">
      <c r="A21" s="297"/>
      <c r="B21" s="297"/>
      <c r="C21" s="79"/>
      <c r="D21" s="321"/>
      <c r="E21" s="160" t="s">
        <v>355</v>
      </c>
      <c r="F21" s="323"/>
      <c r="G21" s="925"/>
      <c r="H21" s="923"/>
    </row>
    <row r="22" s="289" customFormat="true" ht="24.75" hidden="false" customHeight="true" outlineLevel="0" collapsed="false">
      <c r="A22" s="297"/>
      <c r="B22" s="297"/>
      <c r="C22" s="297"/>
      <c r="D22" s="921" t="s">
        <v>88</v>
      </c>
      <c r="E22" s="309" t="s">
        <v>1801</v>
      </c>
      <c r="F22" s="337"/>
      <c r="G22" s="309" t="s">
        <v>1802</v>
      </c>
      <c r="H22" s="929"/>
    </row>
    <row r="23" s="289" customFormat="true" ht="18.75" hidden="false" customHeight="true" outlineLevel="0" collapsed="false">
      <c r="A23" s="297"/>
      <c r="B23" s="297"/>
      <c r="C23" s="297"/>
      <c r="D23" s="921" t="s">
        <v>89</v>
      </c>
      <c r="E23" s="419" t="s">
        <v>1803</v>
      </c>
      <c r="F23" s="245"/>
      <c r="G23" s="309" t="s">
        <v>1804</v>
      </c>
      <c r="H23" s="929"/>
    </row>
    <row r="24" s="289" customFormat="true" ht="144" hidden="true" customHeight="true" outlineLevel="0" collapsed="false">
      <c r="A24" s="297"/>
      <c r="B24" s="297"/>
      <c r="C24" s="297"/>
      <c r="D24" s="921" t="s">
        <v>119</v>
      </c>
      <c r="E24" s="332" t="str">
        <f aca="fals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930"/>
      <c r="G24" s="931" t="str">
        <f aca="false">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929"/>
    </row>
  </sheetData>
  <mergeCells count="6">
    <mergeCell ref="D5:F5"/>
    <mergeCell ref="D6:F6"/>
    <mergeCell ref="E8:F8"/>
    <mergeCell ref="D9:F9"/>
    <mergeCell ref="G9:G10"/>
    <mergeCell ref="G19:G21"/>
  </mergeCells>
  <dataValidations count="2">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F24"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T2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1" min="1" style="42" width="9.14"/>
    <col collapsed="false" customWidth="false" hidden="true" outlineLevel="0" max="2" min="2" style="45" width="9.14"/>
    <col collapsed="false" customWidth="true" hidden="true" outlineLevel="0" max="3" min="3" style="42" width="3.71"/>
    <col collapsed="false" customWidth="true" hidden="false" outlineLevel="0" max="4" min="4" style="116" width="3.85"/>
    <col collapsed="false" customWidth="true" hidden="false" outlineLevel="0" max="5" min="5" style="42" width="6.28"/>
    <col collapsed="false" customWidth="true" hidden="false" outlineLevel="0" max="6" min="6" style="42" width="46.71"/>
    <col collapsed="false" customWidth="true" hidden="false" outlineLevel="0" max="8" min="7" style="42" width="16.71"/>
    <col collapsed="false" customWidth="true" hidden="false" outlineLevel="0" max="9" min="9" style="42" width="35.28"/>
    <col collapsed="false" customWidth="true" hidden="false" outlineLevel="0" max="10" min="10" style="42" width="89.57"/>
    <col collapsed="false" customWidth="true" hidden="false" outlineLevel="0" max="11" min="11" style="117" width="3.71"/>
    <col collapsed="false" customWidth="false" hidden="false" outlineLevel="0" max="14" min="12" style="117" width="9.14"/>
    <col collapsed="false" customWidth="true" hidden="false" outlineLevel="0" max="15" min="15" style="117" width="25.71"/>
    <col collapsed="false" customWidth="true" hidden="false" outlineLevel="0" max="16" min="16" style="117" width="14.42"/>
    <col collapsed="false" customWidth="false" hidden="false" outlineLevel="0" max="20" min="17" style="118" width="9.14"/>
    <col collapsed="false" customWidth="false" hidden="false" outlineLevel="0" max="254" min="21" style="42" width="9.14"/>
  </cols>
  <sheetData>
    <row r="1" customFormat="false" ht="14.25" hidden="true" customHeight="true" outlineLevel="0" collapsed="false"/>
    <row r="2" s="53" customFormat="true" ht="22.5" hidden="true" customHeight="true" outlineLevel="0" collapsed="false">
      <c r="A2" s="109"/>
      <c r="B2" s="45" t="n">
        <v>1</v>
      </c>
      <c r="C2" s="45"/>
      <c r="D2" s="796" t="s">
        <v>100</v>
      </c>
      <c r="E2" s="145"/>
      <c r="F2" s="338"/>
      <c r="G2" s="338"/>
      <c r="H2" s="338"/>
      <c r="I2" s="932"/>
      <c r="J2" s="123"/>
      <c r="K2" s="933"/>
      <c r="L2" s="47"/>
      <c r="M2" s="47"/>
      <c r="N2" s="117" t="str">
        <f aca="false" t="array" ref="N2:N2">IF(ISERROR(MATCH(MID(O2,1,250),MID(note_ter,1,250),0)),"n","y")</f>
        <v>n</v>
      </c>
      <c r="O2" s="47"/>
      <c r="P2" s="117" t="str">
        <f aca="false">G2&amp;"("&amp;J2&amp;")"</f>
        <v>()</v>
      </c>
      <c r="Q2" s="45"/>
      <c r="R2" s="45"/>
      <c r="S2" s="154"/>
      <c r="T2" s="45"/>
      <c r="U2" s="45"/>
      <c r="V2" s="45"/>
      <c r="W2" s="54"/>
      <c r="X2" s="54"/>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54"/>
      <c r="BU2" s="54"/>
      <c r="BV2" s="54"/>
      <c r="BW2" s="54"/>
      <c r="BX2" s="54"/>
      <c r="BY2" s="54"/>
      <c r="BZ2" s="54"/>
      <c r="CA2" s="54"/>
      <c r="CB2" s="54"/>
      <c r="CC2" s="54"/>
    </row>
    <row r="3" s="47" customFormat="true" ht="5.25" hidden="true" customHeight="true" outlineLevel="0" collapsed="false">
      <c r="A3" s="119"/>
      <c r="D3" s="120"/>
      <c r="F3" s="121" t="s">
        <v>79</v>
      </c>
      <c r="G3" s="120" t="s">
        <v>80</v>
      </c>
      <c r="H3" s="120"/>
      <c r="I3" s="120"/>
      <c r="J3" s="122" t="s">
        <v>81</v>
      </c>
      <c r="K3" s="121" t="s">
        <v>79</v>
      </c>
      <c r="L3" s="121"/>
      <c r="M3" s="121"/>
      <c r="N3" s="121"/>
      <c r="O3" s="121"/>
      <c r="P3" s="121"/>
      <c r="Q3" s="121"/>
      <c r="R3" s="121"/>
      <c r="S3" s="121"/>
      <c r="T3" s="121"/>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row>
    <row r="4" s="128" customFormat="true" ht="14.25" hidden="false" customHeight="true" outlineLevel="0" collapsed="false">
      <c r="A4" s="42"/>
      <c r="B4" s="45"/>
      <c r="C4" s="42"/>
      <c r="D4" s="116"/>
      <c r="E4" s="42"/>
      <c r="F4" s="42"/>
      <c r="G4" s="42"/>
      <c r="H4" s="42"/>
      <c r="I4" s="42"/>
      <c r="J4" s="127"/>
      <c r="K4" s="121"/>
      <c r="L4" s="117"/>
      <c r="M4" s="117"/>
      <c r="N4" s="117"/>
      <c r="O4" s="117"/>
      <c r="P4" s="117"/>
      <c r="Q4" s="118"/>
      <c r="R4" s="118"/>
      <c r="S4" s="118"/>
      <c r="T4" s="118"/>
    </row>
    <row r="5" s="128" customFormat="true" ht="25.5" hidden="false" customHeight="true" outlineLevel="0" collapsed="false">
      <c r="A5" s="42"/>
      <c r="B5" s="45"/>
      <c r="C5" s="42"/>
      <c r="D5" s="116"/>
      <c r="E5" s="129" t="str">
        <f aca="false">"Форма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29"/>
      <c r="G5" s="129"/>
      <c r="H5" s="129"/>
      <c r="I5" s="129"/>
      <c r="J5" s="129"/>
      <c r="K5" s="121"/>
      <c r="L5" s="117"/>
      <c r="M5" s="117"/>
      <c r="N5" s="117"/>
      <c r="O5" s="117"/>
      <c r="P5" s="117"/>
      <c r="Q5" s="118"/>
      <c r="R5" s="118"/>
      <c r="S5" s="118"/>
      <c r="T5" s="118"/>
    </row>
    <row r="6" s="128" customFormat="true" ht="14.25" hidden="false" customHeight="true" outlineLevel="0" collapsed="false">
      <c r="A6" s="42"/>
      <c r="B6" s="45"/>
      <c r="C6" s="42"/>
      <c r="D6" s="116"/>
      <c r="E6" s="42"/>
      <c r="F6" s="130"/>
      <c r="G6" s="130"/>
      <c r="H6" s="130"/>
      <c r="I6" s="130"/>
      <c r="J6" s="109"/>
      <c r="K6" s="117"/>
      <c r="L6" s="117"/>
      <c r="M6" s="117"/>
      <c r="N6" s="117"/>
      <c r="O6" s="117"/>
      <c r="P6" s="117"/>
      <c r="Q6" s="118"/>
      <c r="R6" s="118"/>
      <c r="S6" s="118"/>
      <c r="T6" s="118"/>
    </row>
    <row r="7" s="128" customFormat="true" ht="14.25" hidden="false" customHeight="true" outlineLevel="0" collapsed="false">
      <c r="A7" s="42"/>
      <c r="B7" s="45"/>
      <c r="C7" s="42"/>
      <c r="D7" s="116"/>
      <c r="E7" s="269" t="s">
        <v>316</v>
      </c>
      <c r="F7" s="269"/>
      <c r="G7" s="269"/>
      <c r="H7" s="269"/>
      <c r="I7" s="269"/>
      <c r="J7" s="134" t="s">
        <v>317</v>
      </c>
      <c r="K7" s="117"/>
      <c r="L7" s="117"/>
      <c r="M7" s="117"/>
      <c r="N7" s="117"/>
      <c r="O7" s="117"/>
      <c r="P7" s="117"/>
      <c r="Q7" s="118"/>
      <c r="R7" s="118"/>
      <c r="S7" s="118"/>
      <c r="T7" s="118"/>
    </row>
    <row r="8" s="128" customFormat="true" ht="20.25" hidden="false" customHeight="true" outlineLevel="0" collapsed="false">
      <c r="A8" s="42"/>
      <c r="B8" s="45"/>
      <c r="C8" s="42"/>
      <c r="D8" s="116"/>
      <c r="E8" s="934" t="s">
        <v>84</v>
      </c>
      <c r="F8" s="935" t="s">
        <v>1805</v>
      </c>
      <c r="G8" s="935" t="s">
        <v>45</v>
      </c>
      <c r="H8" s="935" t="s">
        <v>47</v>
      </c>
      <c r="I8" s="935" t="s">
        <v>1806</v>
      </c>
      <c r="J8" s="134"/>
      <c r="K8" s="117"/>
      <c r="L8" s="117"/>
      <c r="M8" s="117"/>
      <c r="N8" s="117"/>
      <c r="O8" s="117"/>
      <c r="P8" s="117"/>
      <c r="Q8" s="118"/>
      <c r="R8" s="118"/>
      <c r="S8" s="118"/>
      <c r="T8" s="118"/>
    </row>
    <row r="9" s="53" customFormat="true" ht="22.5" hidden="false" customHeight="true" outlineLevel="0" collapsed="false">
      <c r="A9" s="43"/>
      <c r="B9" s="45" t="n">
        <v>1</v>
      </c>
      <c r="C9" s="45"/>
      <c r="D9" s="157"/>
      <c r="E9" s="145" t="n">
        <v>1</v>
      </c>
      <c r="F9" s="936"/>
      <c r="G9" s="338"/>
      <c r="H9" s="338"/>
      <c r="I9" s="932"/>
      <c r="J9" s="798" t="str">
        <f aca="false">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933"/>
      <c r="L9" s="47"/>
      <c r="M9" s="47"/>
      <c r="N9" s="117" t="str">
        <f aca="false" t="array" ref="N9:N9">IF(ISERROR(MATCH(MID(O9,1,250),MID(note_ter,1,250),0)),"n","y")</f>
        <v>n</v>
      </c>
      <c r="O9" s="47"/>
      <c r="P9" s="117" t="str">
        <f aca="false">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4"/>
      <c r="T9" s="45"/>
      <c r="U9" s="45"/>
      <c r="V9" s="45"/>
      <c r="W9" s="54"/>
      <c r="X9" s="54"/>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54"/>
      <c r="BU9" s="54"/>
      <c r="BV9" s="54"/>
      <c r="BW9" s="54"/>
      <c r="BX9" s="54"/>
      <c r="BY9" s="54"/>
      <c r="BZ9" s="54"/>
      <c r="CA9" s="54"/>
      <c r="CB9" s="54"/>
      <c r="CC9" s="54"/>
    </row>
    <row r="10" s="53" customFormat="true" ht="15" hidden="false" customHeight="true" outlineLevel="0" collapsed="false">
      <c r="A10" s="43"/>
      <c r="B10" s="45"/>
      <c r="C10" s="156"/>
      <c r="D10" s="157"/>
      <c r="E10" s="937"/>
      <c r="F10" s="587" t="s">
        <v>1807</v>
      </c>
      <c r="G10" s="938"/>
      <c r="H10" s="938"/>
      <c r="I10" s="939"/>
      <c r="J10" s="798"/>
      <c r="K10" s="940"/>
      <c r="L10" s="47"/>
      <c r="M10" s="47"/>
      <c r="N10" s="47"/>
      <c r="O10" s="117"/>
      <c r="P10" s="47"/>
      <c r="Q10" s="45"/>
      <c r="R10" s="45"/>
      <c r="S10" s="154"/>
      <c r="T10" s="45"/>
      <c r="U10" s="45"/>
      <c r="V10" s="45"/>
      <c r="W10" s="54"/>
      <c r="X10" s="54"/>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54"/>
      <c r="BU10" s="54"/>
      <c r="BV10" s="54"/>
      <c r="BW10" s="54"/>
      <c r="BX10" s="54"/>
      <c r="BY10" s="54"/>
      <c r="BZ10" s="54"/>
      <c r="CA10" s="54"/>
      <c r="CB10" s="54"/>
      <c r="CC10" s="54"/>
    </row>
    <row r="11" s="128" customFormat="true" ht="21" hidden="false" customHeight="true" outlineLevel="0" collapsed="false">
      <c r="A11" s="42"/>
      <c r="B11" s="45"/>
      <c r="C11" s="42"/>
      <c r="D11" s="116"/>
      <c r="E11" s="169"/>
      <c r="F11" s="169"/>
      <c r="G11" s="169"/>
      <c r="H11" s="169"/>
      <c r="I11" s="169"/>
      <c r="J11" s="169"/>
      <c r="K11" s="117"/>
      <c r="L11" s="117"/>
      <c r="M11" s="117"/>
      <c r="N11" s="117"/>
      <c r="O11" s="117"/>
      <c r="P11" s="117"/>
      <c r="Q11" s="118"/>
      <c r="R11" s="118"/>
      <c r="S11" s="118"/>
      <c r="T11" s="118"/>
    </row>
    <row r="12" s="128" customFormat="true" ht="14.25" hidden="false" customHeight="true" outlineLevel="0" collapsed="false">
      <c r="A12" s="42"/>
      <c r="B12" s="45"/>
      <c r="C12" s="42"/>
      <c r="D12" s="116"/>
      <c r="E12" s="42"/>
      <c r="F12" s="42"/>
      <c r="G12" s="42"/>
      <c r="H12" s="42"/>
      <c r="I12" s="42"/>
      <c r="J12" s="42"/>
      <c r="K12" s="117"/>
      <c r="L12" s="117"/>
      <c r="M12" s="117"/>
      <c r="N12" s="117"/>
      <c r="O12" s="117"/>
      <c r="P12" s="117"/>
      <c r="Q12" s="118"/>
      <c r="R12" s="118"/>
      <c r="S12" s="118"/>
      <c r="T12" s="118"/>
    </row>
    <row r="13" s="128" customFormat="true" ht="0.75" hidden="false" customHeight="true" outlineLevel="0" collapsed="false">
      <c r="A13" s="42"/>
      <c r="B13" s="45"/>
      <c r="C13" s="42"/>
      <c r="D13" s="116"/>
      <c r="E13" s="42"/>
      <c r="F13" s="42"/>
      <c r="G13" s="42"/>
      <c r="H13" s="42"/>
      <c r="I13" s="42"/>
      <c r="J13" s="42"/>
      <c r="K13" s="117"/>
      <c r="L13" s="117"/>
      <c r="M13" s="117"/>
      <c r="N13" s="117"/>
      <c r="O13" s="117"/>
      <c r="P13" s="117"/>
      <c r="Q13" s="118"/>
      <c r="R13" s="118"/>
      <c r="S13" s="118"/>
      <c r="T13" s="118"/>
    </row>
    <row r="14" s="170" customFormat="true" ht="10.5" hidden="false" customHeight="true" outlineLevel="0" collapsed="false">
      <c r="B14" s="171"/>
      <c r="D14" s="172"/>
      <c r="K14" s="117"/>
      <c r="L14" s="117"/>
      <c r="M14" s="117"/>
      <c r="N14" s="117"/>
      <c r="O14" s="117"/>
      <c r="P14" s="117"/>
      <c r="Q14" s="118"/>
      <c r="R14" s="118"/>
      <c r="S14" s="118"/>
      <c r="T14" s="118"/>
    </row>
    <row r="15" s="170" customFormat="true" ht="10.5" hidden="false" customHeight="true" outlineLevel="0" collapsed="false">
      <c r="B15" s="171"/>
      <c r="D15" s="172"/>
      <c r="K15" s="117"/>
      <c r="L15" s="117"/>
      <c r="M15" s="117"/>
      <c r="N15" s="117"/>
      <c r="O15" s="117"/>
      <c r="P15" s="117"/>
      <c r="Q15" s="118"/>
      <c r="R15" s="118"/>
      <c r="S15" s="118"/>
      <c r="T15" s="118"/>
    </row>
    <row r="19" customFormat="false" ht="14.25" hidden="false" customHeight="true" outlineLevel="0" collapsed="false">
      <c r="G19" s="53"/>
      <c r="H19" s="53"/>
      <c r="I19" s="53"/>
    </row>
    <row r="23" customFormat="false" ht="14.25" hidden="false" customHeight="true" outlineLevel="0" collapsed="false">
      <c r="K23" s="42"/>
      <c r="L23" s="42"/>
      <c r="M23" s="42"/>
    </row>
  </sheetData>
  <mergeCells count="5">
    <mergeCell ref="E5:J5"/>
    <mergeCell ref="E7:I7"/>
    <mergeCell ref="J7:J8"/>
    <mergeCell ref="A9:A10"/>
    <mergeCell ref="J9:J10"/>
  </mergeCells>
  <dataValidations count="2">
    <dataValidation allowBlank="true" errorStyle="stop" operator="between" prompt="ОГРН состоит из 13 цифр, ОГРНИП - из 15" showDropDown="false" showErrorMessage="true" showInputMessage="true" sqref="I2 I9" type="textLength">
      <formula1>13</formula1>
      <formula2>15</formula2>
    </dataValidation>
    <dataValidation allowBlank="true" errorStyle="stop" operator="between" showDropDown="false" showErrorMessage="true" showInputMessage="true" sqref="I3"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1" min="1" style="42" width="9.14"/>
    <col collapsed="false" customWidth="false" hidden="true" outlineLevel="0" max="2" min="2" style="45" width="9.14"/>
    <col collapsed="false" customWidth="true" hidden="true" outlineLevel="0" max="3" min="3" style="42" width="3.71"/>
    <col collapsed="false" customWidth="true" hidden="false" outlineLevel="0" max="4" min="4" style="116" width="3.85"/>
    <col collapsed="false" customWidth="true" hidden="false" outlineLevel="0" max="5" min="5" style="42" width="6.28"/>
    <col collapsed="false" customWidth="true" hidden="false" outlineLevel="0" max="6" min="6" style="42" width="27.28"/>
    <col collapsed="false" customWidth="true" hidden="false" outlineLevel="0" max="7" min="7" style="42" width="16.71"/>
    <col collapsed="false" customWidth="true" hidden="false" outlineLevel="0" max="8" min="8" style="42" width="12.71"/>
    <col collapsed="false" customWidth="true" hidden="false" outlineLevel="0" max="9" min="9" style="42" width="32.14"/>
    <col collapsed="false" customWidth="true" hidden="false" outlineLevel="0" max="11" min="10" style="42" width="41.85"/>
    <col collapsed="false" customWidth="true" hidden="false" outlineLevel="0" max="12" min="12" style="42" width="89.57"/>
    <col collapsed="false" customWidth="true" hidden="false" outlineLevel="0" max="13" min="13" style="117" width="3.71"/>
    <col collapsed="false" customWidth="false" hidden="false" outlineLevel="0" max="16" min="14" style="117" width="9.14"/>
    <col collapsed="false" customWidth="true" hidden="false" outlineLevel="0" max="17" min="17" style="117" width="25.71"/>
    <col collapsed="false" customWidth="true" hidden="false" outlineLevel="0" max="18" min="18" style="117" width="14.42"/>
    <col collapsed="false" customWidth="false" hidden="false" outlineLevel="0" max="22" min="19" style="118" width="9.14"/>
    <col collapsed="false" customWidth="false" hidden="false" outlineLevel="0" max="256" min="23" style="42" width="9.14"/>
  </cols>
  <sheetData>
    <row r="1" customFormat="false" ht="14.25" hidden="true" customHeight="true" outlineLevel="0" collapsed="false"/>
    <row r="2" s="53" customFormat="true" ht="22.5" hidden="true" customHeight="true" outlineLevel="0" collapsed="false">
      <c r="A2" s="109"/>
      <c r="B2" s="45" t="n">
        <v>1</v>
      </c>
      <c r="C2" s="45"/>
      <c r="D2" s="796" t="s">
        <v>100</v>
      </c>
      <c r="E2" s="269"/>
      <c r="F2" s="472" t="str">
        <f aca="false">IF(ROIV_INFO_NAME="","",ROIV_INFO_NAME)</f>
        <v>ООО "Газпром теплоэнерго Ярославль"</v>
      </c>
      <c r="G2" s="941"/>
      <c r="H2" s="942"/>
      <c r="I2" s="932"/>
      <c r="J2" s="639"/>
      <c r="K2" s="639"/>
      <c r="L2" s="123"/>
      <c r="M2" s="933" t="e">
        <f aca="false">mergevalue(F2)</f>
        <v>#NAME?</v>
      </c>
      <c r="N2" s="47"/>
      <c r="O2" s="47"/>
      <c r="P2" s="117" t="str">
        <f aca="false" t="array" ref="P2:P2">IF(ISERROR(MATCH(MID(Q2,1,250),MID(note_ter,1,250),0)),"n","y")</f>
        <v>n</v>
      </c>
      <c r="Q2" s="47"/>
      <c r="R2" s="117" t="str">
        <f aca="false">G2&amp;"("&amp;L2&amp;")"</f>
        <v>()</v>
      </c>
      <c r="S2" s="45"/>
      <c r="T2" s="45"/>
      <c r="U2" s="154"/>
      <c r="V2" s="45"/>
      <c r="W2" s="45"/>
      <c r="X2" s="45"/>
      <c r="Y2" s="54"/>
      <c r="Z2" s="54"/>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54"/>
      <c r="BW2" s="54"/>
      <c r="BX2" s="54"/>
      <c r="BY2" s="54"/>
      <c r="BZ2" s="54"/>
      <c r="CA2" s="54"/>
      <c r="CB2" s="54"/>
      <c r="CC2" s="54"/>
      <c r="CD2" s="54"/>
      <c r="CE2" s="54"/>
    </row>
    <row r="3" s="47" customFormat="true" ht="5.25" hidden="true" customHeight="true" outlineLevel="0" collapsed="false">
      <c r="A3" s="119"/>
      <c r="D3" s="120"/>
      <c r="F3" s="121" t="s">
        <v>79</v>
      </c>
      <c r="G3" s="943" t="s">
        <v>80</v>
      </c>
      <c r="H3" s="120"/>
      <c r="I3" s="120"/>
      <c r="J3" s="120"/>
      <c r="K3" s="120"/>
      <c r="L3" s="122" t="s">
        <v>81</v>
      </c>
      <c r="M3" s="121" t="s">
        <v>79</v>
      </c>
      <c r="N3" s="121"/>
      <c r="O3" s="121"/>
      <c r="P3" s="121"/>
      <c r="Q3" s="121"/>
      <c r="R3" s="121"/>
      <c r="S3" s="121"/>
      <c r="T3" s="121"/>
      <c r="U3" s="121"/>
      <c r="V3" s="121"/>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row>
    <row r="4" s="128" customFormat="true" ht="14.25" hidden="false" customHeight="true" outlineLevel="0" collapsed="false">
      <c r="A4" s="42"/>
      <c r="B4" s="45"/>
      <c r="C4" s="42"/>
      <c r="D4" s="116"/>
      <c r="E4" s="42"/>
      <c r="F4" s="42"/>
      <c r="G4" s="42"/>
      <c r="H4" s="42"/>
      <c r="I4" s="42"/>
      <c r="J4" s="42"/>
      <c r="K4" s="42"/>
      <c r="L4" s="127"/>
      <c r="M4" s="121"/>
      <c r="N4" s="117"/>
      <c r="O4" s="117"/>
      <c r="P4" s="117"/>
      <c r="Q4" s="117"/>
      <c r="R4" s="117"/>
      <c r="S4" s="118"/>
      <c r="T4" s="118"/>
      <c r="U4" s="118"/>
      <c r="V4" s="118"/>
    </row>
    <row r="5" s="128" customFormat="true" ht="25.5" hidden="false" customHeight="true" outlineLevel="0" collapsed="false">
      <c r="A5" s="42"/>
      <c r="B5" s="45"/>
      <c r="C5" s="42"/>
      <c r="D5" s="116"/>
      <c r="E5" s="129"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29"/>
      <c r="G5" s="129"/>
      <c r="H5" s="129"/>
      <c r="I5" s="129"/>
      <c r="J5" s="129"/>
      <c r="K5" s="129"/>
      <c r="L5" s="42"/>
      <c r="M5" s="121"/>
      <c r="N5" s="117"/>
      <c r="O5" s="117"/>
      <c r="P5" s="117"/>
      <c r="Q5" s="117"/>
      <c r="R5" s="117"/>
      <c r="S5" s="118"/>
      <c r="T5" s="118"/>
      <c r="U5" s="118"/>
      <c r="V5" s="118"/>
    </row>
    <row r="6" s="128" customFormat="true" ht="14.25" hidden="false" customHeight="true" outlineLevel="0" collapsed="false">
      <c r="A6" s="42"/>
      <c r="B6" s="45"/>
      <c r="C6" s="42"/>
      <c r="D6" s="116"/>
      <c r="E6" s="42"/>
      <c r="F6" s="130"/>
      <c r="G6" s="130"/>
      <c r="H6" s="130"/>
      <c r="I6" s="130"/>
      <c r="J6" s="130"/>
      <c r="K6" s="130"/>
      <c r="L6" s="109"/>
      <c r="M6" s="117"/>
      <c r="N6" s="117"/>
      <c r="O6" s="117"/>
      <c r="P6" s="117"/>
      <c r="Q6" s="117"/>
      <c r="R6" s="117"/>
      <c r="S6" s="118"/>
      <c r="T6" s="118"/>
      <c r="U6" s="118"/>
      <c r="V6" s="118"/>
    </row>
    <row r="7" s="128" customFormat="true" ht="14.25" hidden="false" customHeight="true" outlineLevel="0" collapsed="false">
      <c r="A7" s="42"/>
      <c r="B7" s="45"/>
      <c r="C7" s="42"/>
      <c r="D7" s="116"/>
      <c r="E7" s="269" t="s">
        <v>316</v>
      </c>
      <c r="F7" s="269"/>
      <c r="G7" s="269"/>
      <c r="H7" s="269"/>
      <c r="I7" s="269"/>
      <c r="J7" s="269"/>
      <c r="K7" s="269"/>
      <c r="L7" s="134" t="s">
        <v>317</v>
      </c>
      <c r="M7" s="117"/>
      <c r="N7" s="117"/>
      <c r="O7" s="117"/>
      <c r="P7" s="117"/>
      <c r="Q7" s="117"/>
      <c r="R7" s="117"/>
      <c r="S7" s="118"/>
      <c r="T7" s="118"/>
      <c r="U7" s="118"/>
      <c r="V7" s="118"/>
    </row>
    <row r="8" s="128" customFormat="true" ht="64.5" hidden="false" customHeight="true" outlineLevel="0" collapsed="false">
      <c r="A8" s="42"/>
      <c r="B8" s="45"/>
      <c r="C8" s="42"/>
      <c r="D8" s="116"/>
      <c r="E8" s="136" t="s">
        <v>84</v>
      </c>
      <c r="F8" s="136" t="str">
        <f aca="false">"Наименование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36" t="str">
        <f aca="false">"Заседание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36"/>
      <c r="I8" s="136"/>
      <c r="J8" s="136" t="str">
        <f aca="false">"Принятые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36"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4"/>
      <c r="M8" s="117"/>
      <c r="N8" s="117"/>
      <c r="O8" s="117"/>
      <c r="P8" s="117"/>
      <c r="Q8" s="117"/>
      <c r="R8" s="117"/>
      <c r="S8" s="118"/>
      <c r="T8" s="118"/>
      <c r="U8" s="118"/>
      <c r="V8" s="118"/>
    </row>
    <row r="9" s="128" customFormat="true" ht="27.75" hidden="false" customHeight="true" outlineLevel="0" collapsed="false">
      <c r="A9" s="42"/>
      <c r="B9" s="45"/>
      <c r="C9" s="42"/>
      <c r="D9" s="116"/>
      <c r="E9" s="136"/>
      <c r="F9" s="136"/>
      <c r="G9" s="944" t="s">
        <v>1808</v>
      </c>
      <c r="H9" s="944" t="s">
        <v>1809</v>
      </c>
      <c r="I9" s="944" t="s">
        <v>1810</v>
      </c>
      <c r="J9" s="136"/>
      <c r="K9" s="136"/>
      <c r="L9" s="134"/>
      <c r="M9" s="117"/>
      <c r="N9" s="117"/>
      <c r="O9" s="117"/>
      <c r="P9" s="117"/>
      <c r="Q9" s="117"/>
      <c r="R9" s="117"/>
      <c r="S9" s="118"/>
      <c r="T9" s="118"/>
      <c r="U9" s="118"/>
      <c r="V9" s="118"/>
    </row>
    <row r="10" s="53" customFormat="true" ht="22.5" hidden="false" customHeight="true" outlineLevel="0" collapsed="false">
      <c r="A10" s="43"/>
      <c r="B10" s="45" t="n">
        <v>1</v>
      </c>
      <c r="C10" s="45"/>
      <c r="D10" s="149"/>
      <c r="E10" s="150" t="n">
        <v>1</v>
      </c>
      <c r="F10" s="945" t="str">
        <f aca="false">IF(ROIV_INFO_NAME="","",ROIV_INFO_NAME)</f>
        <v>ООО "Газпром теплоэнерго Ярославль"</v>
      </c>
      <c r="G10" s="77"/>
      <c r="H10" s="942"/>
      <c r="I10" s="946"/>
      <c r="J10" s="639"/>
      <c r="K10" s="639"/>
      <c r="L10" s="947"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933" t="e">
        <f aca="false">mergevalue(F10)</f>
        <v>#NAME?</v>
      </c>
      <c r="N10" s="47"/>
      <c r="O10" s="47"/>
      <c r="P10" s="117" t="str">
        <f aca="false" t="array" ref="P10:P10">IF(ISERROR(MATCH(MID(Q10,1,250),MID(note_ter,1,250),0)),"n","y")</f>
        <v>n</v>
      </c>
      <c r="Q10" s="47"/>
      <c r="R10" s="117"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45"/>
      <c r="T10" s="45"/>
      <c r="U10" s="154"/>
      <c r="V10" s="45"/>
      <c r="W10" s="45"/>
      <c r="X10" s="45"/>
      <c r="Y10" s="54"/>
      <c r="Z10" s="54"/>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54"/>
      <c r="BW10" s="54"/>
      <c r="BX10" s="54"/>
      <c r="BY10" s="54"/>
      <c r="BZ10" s="54"/>
      <c r="CA10" s="54"/>
      <c r="CB10" s="54"/>
      <c r="CC10" s="54"/>
      <c r="CD10" s="54"/>
      <c r="CE10" s="54"/>
    </row>
    <row r="11" s="53" customFormat="true" ht="15" hidden="false" customHeight="true" outlineLevel="0" collapsed="false">
      <c r="A11" s="43"/>
      <c r="B11" s="45"/>
      <c r="C11" s="156"/>
      <c r="D11" s="157"/>
      <c r="E11" s="158"/>
      <c r="F11" s="167" t="s">
        <v>1811</v>
      </c>
      <c r="G11" s="161"/>
      <c r="H11" s="161"/>
      <c r="I11" s="161"/>
      <c r="J11" s="161"/>
      <c r="K11" s="162"/>
      <c r="L11" s="947"/>
      <c r="M11" s="940"/>
      <c r="N11" s="47"/>
      <c r="O11" s="47"/>
      <c r="P11" s="47"/>
      <c r="Q11" s="117"/>
      <c r="R11" s="47"/>
      <c r="S11" s="45"/>
      <c r="T11" s="45"/>
      <c r="U11" s="154"/>
      <c r="V11" s="45"/>
      <c r="W11" s="45"/>
      <c r="X11" s="45"/>
      <c r="Y11" s="54"/>
      <c r="Z11" s="54"/>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54"/>
      <c r="BW11" s="54"/>
      <c r="BX11" s="54"/>
      <c r="BY11" s="54"/>
      <c r="BZ11" s="54"/>
      <c r="CA11" s="54"/>
      <c r="CB11" s="54"/>
      <c r="CC11" s="54"/>
      <c r="CD11" s="54"/>
      <c r="CE11" s="54"/>
    </row>
    <row r="12" s="128" customFormat="true" ht="21" hidden="false" customHeight="true" outlineLevel="0" collapsed="false">
      <c r="A12" s="42"/>
      <c r="B12" s="45"/>
      <c r="C12" s="42"/>
      <c r="D12" s="116"/>
      <c r="E12" s="169"/>
      <c r="F12" s="169"/>
      <c r="G12" s="169"/>
      <c r="H12" s="169"/>
      <c r="I12" s="169"/>
      <c r="J12" s="169"/>
      <c r="K12" s="169"/>
      <c r="L12" s="169"/>
      <c r="M12" s="117"/>
      <c r="N12" s="117"/>
      <c r="O12" s="117"/>
      <c r="P12" s="117"/>
      <c r="Q12" s="117"/>
      <c r="R12" s="117"/>
      <c r="S12" s="118"/>
      <c r="T12" s="118"/>
      <c r="U12" s="118"/>
      <c r="V12" s="118"/>
    </row>
    <row r="13" s="128" customFormat="true" ht="14.25" hidden="false" customHeight="true" outlineLevel="0" collapsed="false">
      <c r="A13" s="42"/>
      <c r="B13" s="45"/>
      <c r="C13" s="42"/>
      <c r="D13" s="116"/>
      <c r="E13" s="42"/>
      <c r="F13" s="42"/>
      <c r="G13" s="42"/>
      <c r="H13" s="42"/>
      <c r="I13" s="42"/>
      <c r="J13" s="42"/>
      <c r="K13" s="42"/>
      <c r="L13" s="42"/>
      <c r="M13" s="117"/>
      <c r="N13" s="117"/>
      <c r="O13" s="117"/>
      <c r="P13" s="117"/>
      <c r="Q13" s="117"/>
      <c r="R13" s="117"/>
      <c r="S13" s="118"/>
      <c r="T13" s="118"/>
      <c r="U13" s="118"/>
      <c r="V13" s="118"/>
    </row>
    <row r="14" s="128" customFormat="true" ht="0.75" hidden="false" customHeight="true" outlineLevel="0" collapsed="false">
      <c r="A14" s="42"/>
      <c r="B14" s="45"/>
      <c r="C14" s="42"/>
      <c r="D14" s="116"/>
      <c r="E14" s="42"/>
      <c r="F14" s="42"/>
      <c r="G14" s="42"/>
      <c r="H14" s="42"/>
      <c r="I14" s="42"/>
      <c r="J14" s="42"/>
      <c r="K14" s="42"/>
      <c r="L14" s="42"/>
      <c r="M14" s="117"/>
      <c r="N14" s="117"/>
      <c r="O14" s="117"/>
      <c r="P14" s="117"/>
      <c r="Q14" s="117"/>
      <c r="R14" s="117"/>
      <c r="S14" s="118"/>
      <c r="T14" s="118"/>
      <c r="U14" s="118"/>
      <c r="V14" s="118"/>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Style="stop" operator="lessThanOrEqual" showDropDown="false" showErrorMessage="true" showInputMessage="true" sqref="I2 I10" type="textLength">
      <formula1>990</formula1>
      <formula2>0</formula2>
    </dataValidation>
    <dataValidation allowBlank="true" errorStyle="stop" operator="between" prompt="Укажите время в формате ЧЧ:ММ" showDropDown="false" showErrorMessage="true" showInputMessage="true" sqref="H2 H10" type="time">
      <formula1>0</formula1>
      <formula2>0.999305555555556</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2:K3 J10:K10"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1" min="1" style="42" width="9.14"/>
    <col collapsed="false" customWidth="false" hidden="true" outlineLevel="0" max="2" min="2" style="45" width="9.14"/>
    <col collapsed="false" customWidth="true" hidden="true" outlineLevel="0" max="3" min="3" style="42" width="3.71"/>
    <col collapsed="false" customWidth="true" hidden="false" outlineLevel="0" max="4" min="4" style="116" width="3.85"/>
    <col collapsed="false" customWidth="true" hidden="false" outlineLevel="0" max="5" min="5" style="42" width="6.28"/>
    <col collapsed="false" customWidth="true" hidden="false" outlineLevel="0" max="6" min="6" style="42" width="27.28"/>
    <col collapsed="false" customWidth="true" hidden="false" outlineLevel="0" max="7" min="7" style="42" width="16.71"/>
    <col collapsed="false" customWidth="true" hidden="false" outlineLevel="0" max="8" min="8" style="42" width="12.71"/>
    <col collapsed="false" customWidth="true" hidden="false" outlineLevel="0" max="9" min="9" style="42" width="32.14"/>
    <col collapsed="false" customWidth="true" hidden="false" outlineLevel="0" max="11" min="10" style="42" width="41.85"/>
    <col collapsed="false" customWidth="true" hidden="false" outlineLevel="0" max="12" min="12" style="42" width="89.57"/>
    <col collapsed="false" customWidth="true" hidden="false" outlineLevel="0" max="13" min="13" style="117" width="3.71"/>
    <col collapsed="false" customWidth="false" hidden="false" outlineLevel="0" max="16" min="14" style="117" width="9.14"/>
    <col collapsed="false" customWidth="true" hidden="false" outlineLevel="0" max="17" min="17" style="117" width="25.71"/>
    <col collapsed="false" customWidth="true" hidden="false" outlineLevel="0" max="18" min="18" style="117" width="14.42"/>
    <col collapsed="false" customWidth="false" hidden="false" outlineLevel="0" max="22" min="19" style="118" width="9.14"/>
    <col collapsed="false" customWidth="false" hidden="false" outlineLevel="0" max="256" min="23" style="42" width="9.14"/>
  </cols>
  <sheetData>
    <row r="1" customFormat="false" ht="14.25" hidden="true" customHeight="true" outlineLevel="0" collapsed="false"/>
    <row r="2" s="53" customFormat="true" ht="22.5" hidden="true" customHeight="true" outlineLevel="0" collapsed="false">
      <c r="A2" s="109"/>
      <c r="B2" s="45" t="n">
        <v>1</v>
      </c>
      <c r="C2" s="45"/>
      <c r="D2" s="796" t="s">
        <v>100</v>
      </c>
      <c r="E2" s="145"/>
      <c r="F2" s="472" t="str">
        <f aca="false">IF(ROIV_INFO_NAME="","",ROIV_INFO_NAME)</f>
        <v>ООО "Газпром теплоэнерго Ярославль"</v>
      </c>
      <c r="G2" s="77"/>
      <c r="H2" s="942"/>
      <c r="I2" s="932"/>
      <c r="J2" s="639"/>
      <c r="K2" s="639"/>
      <c r="L2" s="123"/>
      <c r="M2" s="933" t="e">
        <f aca="false">mergevalue(F2)</f>
        <v>#NAME?</v>
      </c>
      <c r="N2" s="47"/>
      <c r="O2" s="47"/>
      <c r="P2" s="117" t="str">
        <f aca="false" t="array" ref="P2:P2">IF(ISERROR(MATCH(MID(Q2,1,250),MID(note_ter,1,250),0)),"n","y")</f>
        <v>n</v>
      </c>
      <c r="Q2" s="47"/>
      <c r="R2" s="117" t="str">
        <f aca="false">G2&amp;"("&amp;L2&amp;")"</f>
        <v>()</v>
      </c>
      <c r="S2" s="45"/>
      <c r="T2" s="45"/>
      <c r="U2" s="154"/>
      <c r="V2" s="45"/>
      <c r="W2" s="45"/>
      <c r="X2" s="45"/>
      <c r="Y2" s="54"/>
      <c r="Z2" s="54"/>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54"/>
      <c r="BW2" s="54"/>
      <c r="BX2" s="54"/>
      <c r="BY2" s="54"/>
      <c r="BZ2" s="54"/>
      <c r="CA2" s="54"/>
      <c r="CB2" s="54"/>
      <c r="CC2" s="54"/>
      <c r="CD2" s="54"/>
      <c r="CE2" s="54"/>
    </row>
    <row r="3" s="47" customFormat="true" ht="5.25" hidden="true" customHeight="true" outlineLevel="0" collapsed="false">
      <c r="A3" s="119"/>
      <c r="D3" s="120"/>
      <c r="F3" s="121" t="s">
        <v>79</v>
      </c>
      <c r="G3" s="943" t="s">
        <v>80</v>
      </c>
      <c r="H3" s="120"/>
      <c r="I3" s="120"/>
      <c r="J3" s="120"/>
      <c r="K3" s="120"/>
      <c r="L3" s="122" t="s">
        <v>81</v>
      </c>
      <c r="M3" s="121" t="s">
        <v>79</v>
      </c>
      <c r="N3" s="121"/>
      <c r="O3" s="121"/>
      <c r="P3" s="121"/>
      <c r="Q3" s="121"/>
      <c r="R3" s="121"/>
      <c r="S3" s="121"/>
      <c r="T3" s="121"/>
      <c r="U3" s="121"/>
      <c r="V3" s="121"/>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row>
    <row r="4" s="128" customFormat="true" ht="14.25" hidden="false" customHeight="true" outlineLevel="0" collapsed="false">
      <c r="A4" s="42"/>
      <c r="B4" s="45"/>
      <c r="C4" s="42"/>
      <c r="D4" s="116"/>
      <c r="E4" s="42"/>
      <c r="F4" s="42"/>
      <c r="G4" s="42"/>
      <c r="H4" s="42"/>
      <c r="I4" s="42"/>
      <c r="J4" s="42"/>
      <c r="K4" s="42"/>
      <c r="L4" s="127"/>
      <c r="M4" s="121"/>
      <c r="N4" s="117"/>
      <c r="O4" s="117"/>
      <c r="P4" s="117"/>
      <c r="Q4" s="117"/>
      <c r="R4" s="117"/>
      <c r="S4" s="118"/>
      <c r="T4" s="118"/>
      <c r="U4" s="118"/>
      <c r="V4" s="118"/>
    </row>
    <row r="5" s="128" customFormat="true" ht="25.5" hidden="false" customHeight="true" outlineLevel="0" collapsed="false">
      <c r="A5" s="42"/>
      <c r="B5" s="45"/>
      <c r="C5" s="42"/>
      <c r="D5" s="116"/>
      <c r="E5" s="129"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29"/>
      <c r="G5" s="129"/>
      <c r="H5" s="129"/>
      <c r="I5" s="129"/>
      <c r="J5" s="129"/>
      <c r="K5" s="129"/>
      <c r="L5" s="42"/>
      <c r="M5" s="121"/>
      <c r="N5" s="117"/>
      <c r="O5" s="117"/>
      <c r="P5" s="117"/>
      <c r="Q5" s="117"/>
      <c r="R5" s="117"/>
      <c r="S5" s="118"/>
      <c r="T5" s="118"/>
      <c r="U5" s="118"/>
      <c r="V5" s="118"/>
    </row>
    <row r="6" s="128" customFormat="true" ht="14.25" hidden="false" customHeight="true" outlineLevel="0" collapsed="false">
      <c r="A6" s="42"/>
      <c r="B6" s="45"/>
      <c r="C6" s="42"/>
      <c r="D6" s="116"/>
      <c r="E6" s="42"/>
      <c r="F6" s="130"/>
      <c r="G6" s="130"/>
      <c r="H6" s="130"/>
      <c r="I6" s="130"/>
      <c r="J6" s="130"/>
      <c r="K6" s="130"/>
      <c r="L6" s="109"/>
      <c r="M6" s="117"/>
      <c r="N6" s="117"/>
      <c r="O6" s="117"/>
      <c r="P6" s="117"/>
      <c r="Q6" s="117"/>
      <c r="R6" s="117"/>
      <c r="S6" s="118"/>
      <c r="T6" s="118"/>
      <c r="U6" s="118"/>
      <c r="V6" s="118"/>
    </row>
    <row r="7" s="128" customFormat="true" ht="14.25" hidden="false" customHeight="true" outlineLevel="0" collapsed="false">
      <c r="A7" s="42"/>
      <c r="B7" s="45"/>
      <c r="C7" s="42"/>
      <c r="D7" s="116"/>
      <c r="E7" s="269" t="s">
        <v>316</v>
      </c>
      <c r="F7" s="269"/>
      <c r="G7" s="269"/>
      <c r="H7" s="269"/>
      <c r="I7" s="269"/>
      <c r="J7" s="269"/>
      <c r="K7" s="269"/>
      <c r="L7" s="134" t="s">
        <v>317</v>
      </c>
      <c r="M7" s="117"/>
      <c r="N7" s="117"/>
      <c r="O7" s="117"/>
      <c r="P7" s="117"/>
      <c r="Q7" s="117"/>
      <c r="R7" s="117"/>
      <c r="S7" s="118"/>
      <c r="T7" s="118"/>
      <c r="U7" s="118"/>
      <c r="V7" s="118"/>
    </row>
    <row r="8" s="128" customFormat="true" ht="64.5" hidden="false" customHeight="true" outlineLevel="0" collapsed="false">
      <c r="A8" s="42"/>
      <c r="B8" s="45"/>
      <c r="C8" s="42"/>
      <c r="D8" s="116"/>
      <c r="E8" s="136" t="s">
        <v>84</v>
      </c>
      <c r="F8" s="136" t="s">
        <v>1812</v>
      </c>
      <c r="G8" s="136" t="s">
        <v>1813</v>
      </c>
      <c r="H8" s="136"/>
      <c r="I8" s="136"/>
      <c r="J8" s="136" t="s">
        <v>1814</v>
      </c>
      <c r="K8" s="136"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4"/>
      <c r="M8" s="117"/>
      <c r="N8" s="117"/>
      <c r="O8" s="117"/>
      <c r="P8" s="117"/>
      <c r="Q8" s="117"/>
      <c r="R8" s="117"/>
      <c r="S8" s="118"/>
      <c r="T8" s="118"/>
      <c r="U8" s="118"/>
      <c r="V8" s="118"/>
    </row>
    <row r="9" s="128" customFormat="true" ht="27.75" hidden="false" customHeight="true" outlineLevel="0" collapsed="false">
      <c r="A9" s="42"/>
      <c r="B9" s="45"/>
      <c r="C9" s="42"/>
      <c r="D9" s="116"/>
      <c r="E9" s="136"/>
      <c r="F9" s="136"/>
      <c r="G9" s="944" t="s">
        <v>1808</v>
      </c>
      <c r="H9" s="944" t="s">
        <v>1809</v>
      </c>
      <c r="I9" s="944" t="s">
        <v>1810</v>
      </c>
      <c r="J9" s="136"/>
      <c r="K9" s="136"/>
      <c r="L9" s="134"/>
      <c r="M9" s="117"/>
      <c r="N9" s="117"/>
      <c r="O9" s="117"/>
      <c r="P9" s="117"/>
      <c r="Q9" s="117"/>
      <c r="R9" s="117"/>
      <c r="S9" s="118"/>
      <c r="T9" s="118"/>
      <c r="U9" s="118"/>
      <c r="V9" s="118"/>
    </row>
    <row r="10" s="53" customFormat="true" ht="0.75" hidden="false" customHeight="true" outlineLevel="0" collapsed="false">
      <c r="A10" s="43"/>
      <c r="B10" s="45" t="n">
        <v>1</v>
      </c>
      <c r="C10" s="45"/>
      <c r="D10" s="149"/>
      <c r="E10" s="151" t="n">
        <v>0</v>
      </c>
      <c r="F10" s="948" t="str">
        <f aca="false">IF(ROIV_INFO_NAME="","",ROIV_INFO_NAME)</f>
        <v>ООО "Газпром теплоэнерго Ярославль"</v>
      </c>
      <c r="G10" s="84"/>
      <c r="H10" s="949"/>
      <c r="I10" s="949"/>
      <c r="J10" s="702"/>
      <c r="K10" s="702"/>
      <c r="L10" s="947"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33" t="e">
        <f aca="false">mergevalue(F10)</f>
        <v>#NAME?</v>
      </c>
      <c r="N10" s="47"/>
      <c r="O10" s="47"/>
      <c r="P10" s="117" t="str">
        <f aca="false" t="array" ref="P10:P10">IF(ISERROR(MATCH(MID(Q10,1,250),MID(note_ter,1,250),0)),"n","y")</f>
        <v>n</v>
      </c>
      <c r="Q10" s="47"/>
      <c r="R10" s="117"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4"/>
      <c r="V10" s="45"/>
      <c r="W10" s="45"/>
      <c r="X10" s="45"/>
      <c r="Y10" s="54"/>
      <c r="Z10" s="54"/>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54"/>
      <c r="BW10" s="54"/>
      <c r="BX10" s="54"/>
      <c r="BY10" s="54"/>
      <c r="BZ10" s="54"/>
      <c r="CA10" s="54"/>
      <c r="CB10" s="54"/>
      <c r="CC10" s="54"/>
      <c r="CD10" s="54"/>
      <c r="CE10" s="54"/>
    </row>
    <row r="11" s="53" customFormat="true" ht="15" hidden="false" customHeight="true" outlineLevel="0" collapsed="false">
      <c r="A11" s="43"/>
      <c r="B11" s="45"/>
      <c r="C11" s="156"/>
      <c r="D11" s="157"/>
      <c r="E11" s="158"/>
      <c r="F11" s="167" t="s">
        <v>1811</v>
      </c>
      <c r="G11" s="161"/>
      <c r="H11" s="161"/>
      <c r="I11" s="161"/>
      <c r="J11" s="161"/>
      <c r="K11" s="162"/>
      <c r="L11" s="947"/>
      <c r="M11" s="940"/>
      <c r="N11" s="47"/>
      <c r="O11" s="47"/>
      <c r="P11" s="47"/>
      <c r="Q11" s="117"/>
      <c r="R11" s="47"/>
      <c r="S11" s="45"/>
      <c r="T11" s="45"/>
      <c r="U11" s="154"/>
      <c r="V11" s="45"/>
      <c r="W11" s="45"/>
      <c r="X11" s="45"/>
      <c r="Y11" s="54"/>
      <c r="Z11" s="54"/>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54"/>
      <c r="BW11" s="54"/>
      <c r="BX11" s="54"/>
      <c r="BY11" s="54"/>
      <c r="BZ11" s="54"/>
      <c r="CA11" s="54"/>
      <c r="CB11" s="54"/>
      <c r="CC11" s="54"/>
      <c r="CD11" s="54"/>
      <c r="CE11" s="54"/>
    </row>
    <row r="12" s="128" customFormat="true" ht="21" hidden="false" customHeight="true" outlineLevel="0" collapsed="false">
      <c r="A12" s="42"/>
      <c r="B12" s="45"/>
      <c r="C12" s="42"/>
      <c r="D12" s="116"/>
      <c r="E12" s="169"/>
      <c r="F12" s="169"/>
      <c r="G12" s="169"/>
      <c r="H12" s="169"/>
      <c r="I12" s="169"/>
      <c r="J12" s="169"/>
      <c r="K12" s="169"/>
      <c r="L12" s="169"/>
      <c r="M12" s="117"/>
      <c r="N12" s="117"/>
      <c r="O12" s="117"/>
      <c r="P12" s="117"/>
      <c r="Q12" s="117"/>
      <c r="R12" s="117"/>
      <c r="S12" s="118"/>
      <c r="T12" s="118"/>
      <c r="U12" s="118"/>
      <c r="V12" s="118"/>
    </row>
    <row r="13" s="128" customFormat="true" ht="14.25" hidden="false" customHeight="true" outlineLevel="0" collapsed="false">
      <c r="A13" s="42"/>
      <c r="B13" s="45"/>
      <c r="C13" s="42"/>
      <c r="D13" s="116"/>
      <c r="E13" s="42"/>
      <c r="F13" s="42"/>
      <c r="G13" s="42"/>
      <c r="H13" s="42"/>
      <c r="I13" s="42"/>
      <c r="J13" s="42"/>
      <c r="K13" s="42"/>
      <c r="L13" s="42"/>
      <c r="M13" s="117"/>
      <c r="N13" s="117"/>
      <c r="O13" s="117"/>
      <c r="P13" s="117"/>
      <c r="Q13" s="117"/>
      <c r="R13" s="117"/>
      <c r="S13" s="118"/>
      <c r="T13" s="118"/>
      <c r="U13" s="118"/>
      <c r="V13" s="118"/>
    </row>
    <row r="14" s="128" customFormat="true" ht="0.75" hidden="false" customHeight="true" outlineLevel="0" collapsed="false">
      <c r="A14" s="42"/>
      <c r="B14" s="45"/>
      <c r="C14" s="42"/>
      <c r="D14" s="116"/>
      <c r="E14" s="42"/>
      <c r="F14" s="42"/>
      <c r="G14" s="42"/>
      <c r="H14" s="42"/>
      <c r="I14" s="42"/>
      <c r="J14" s="42"/>
      <c r="K14" s="42"/>
      <c r="L14" s="42"/>
      <c r="M14" s="117"/>
      <c r="N14" s="117"/>
      <c r="O14" s="117"/>
      <c r="P14" s="117"/>
      <c r="Q14" s="117"/>
      <c r="R14" s="117"/>
      <c r="S14" s="118"/>
      <c r="T14" s="118"/>
      <c r="U14" s="118"/>
      <c r="V14" s="118"/>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type="none">
      <formula1>0</formula1>
      <formula2>0</formula2>
    </dataValidation>
    <dataValidation allowBlank="true" errorStyle="stop" operator="between" prompt="Укажите время в формате ЧЧ:ММ" showDropDown="false" showErrorMessage="true" showInputMessage="true" sqref="H2" type="time">
      <formula1>0</formula1>
      <formula2>0.999305555555556</formula2>
    </dataValidation>
    <dataValidation allowBlank="true" errorStyle="stop" operator="lessThanOrEqual" showDropDown="false" showErrorMessage="true" showInputMessage="true" sqref="I2" type="textLength">
      <formula1>990</formula1>
      <formula2>0</formula2>
    </dataValidation>
    <dataValidation allowBlank="true" errorStyle="stop" operator="between" showDropDown="false" showErrorMessage="true" showInputMessage="true" sqref="H3:I3" type="textLength">
      <formula1>13</formula1>
      <formula2>15</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2:K3"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1" min="1" style="42" width="9.14"/>
    <col collapsed="false" customWidth="false" hidden="true" outlineLevel="0" max="2" min="2" style="45" width="9.14"/>
    <col collapsed="false" customWidth="true" hidden="true" outlineLevel="0" max="3" min="3" style="42" width="3.71"/>
    <col collapsed="false" customWidth="true" hidden="false" outlineLevel="0" max="4" min="4" style="116" width="3.85"/>
    <col collapsed="false" customWidth="true" hidden="false" outlineLevel="0" max="5" min="5" style="42" width="6.28"/>
    <col collapsed="false" customWidth="true" hidden="false" outlineLevel="0" max="6" min="6" style="42" width="27.28"/>
    <col collapsed="false" customWidth="true" hidden="false" outlineLevel="0" max="7" min="7" style="42" width="29.28"/>
    <col collapsed="false" customWidth="true" hidden="false" outlineLevel="0" max="8" min="8" style="42" width="25.42"/>
    <col collapsed="false" customWidth="true" hidden="false" outlineLevel="0" max="9" min="9" style="42" width="5.57"/>
    <col collapsed="false" customWidth="true" hidden="false" outlineLevel="0" max="10" min="10" style="42" width="6.57"/>
    <col collapsed="false" customWidth="true" hidden="false" outlineLevel="0" max="11" min="11" style="42" width="41.85"/>
    <col collapsed="false" customWidth="true" hidden="false" outlineLevel="0" max="12" min="12" style="42" width="42.42"/>
    <col collapsed="false" customWidth="true" hidden="false" outlineLevel="0" max="13" min="13" style="42" width="41.57"/>
    <col collapsed="false" customWidth="true" hidden="false" outlineLevel="0" max="14" min="14" style="42" width="89.57"/>
    <col collapsed="false" customWidth="true" hidden="false" outlineLevel="0" max="15" min="15" style="117" width="3.71"/>
    <col collapsed="false" customWidth="false" hidden="false" outlineLevel="0" max="16" min="16" style="117" width="9.14"/>
  </cols>
  <sheetData>
    <row r="1" customFormat="false" ht="14.25" hidden="true" customHeight="true" outlineLevel="0" collapsed="false"/>
    <row r="2" s="53" customFormat="true" ht="22.5" hidden="true" customHeight="true" outlineLevel="0" collapsed="false">
      <c r="A2" s="119"/>
      <c r="B2" s="45" t="n">
        <v>1</v>
      </c>
      <c r="C2" s="45"/>
      <c r="D2" s="796" t="s">
        <v>100</v>
      </c>
      <c r="E2" s="133" t="n">
        <v>1</v>
      </c>
      <c r="F2" s="423" t="str">
        <f aca="false">IF(region_name="","",region_name)</f>
        <v>Ярославская область</v>
      </c>
      <c r="G2" s="936"/>
      <c r="H2" s="340"/>
      <c r="I2" s="309"/>
      <c r="J2" s="269" t="n">
        <v>1</v>
      </c>
      <c r="K2" s="337"/>
      <c r="L2" s="337"/>
      <c r="M2" s="337"/>
      <c r="N2" s="320"/>
      <c r="O2" s="933"/>
      <c r="P2" s="47"/>
    </row>
    <row r="3" s="53" customFormat="true" ht="22.5" hidden="true" customHeight="true" outlineLevel="0" collapsed="false">
      <c r="A3" s="109"/>
      <c r="B3" s="45"/>
      <c r="C3" s="45"/>
      <c r="D3" s="157"/>
      <c r="E3" s="133"/>
      <c r="F3" s="423"/>
      <c r="G3" s="936"/>
      <c r="H3" s="340"/>
      <c r="I3" s="158"/>
      <c r="J3" s="587"/>
      <c r="K3" s="587" t="s">
        <v>1815</v>
      </c>
      <c r="L3" s="950"/>
      <c r="M3" s="951"/>
      <c r="N3" s="952"/>
      <c r="O3" s="933"/>
      <c r="P3" s="47"/>
    </row>
    <row r="4" s="47" customFormat="true" ht="5.25" hidden="true" customHeight="true" outlineLevel="0" collapsed="false">
      <c r="A4" s="119"/>
      <c r="D4" s="120"/>
      <c r="F4" s="121" t="s">
        <v>79</v>
      </c>
      <c r="G4" s="120" t="s">
        <v>80</v>
      </c>
      <c r="H4" s="120"/>
      <c r="I4" s="120"/>
      <c r="J4" s="953"/>
      <c r="K4" s="120"/>
      <c r="L4" s="120"/>
      <c r="M4" s="120"/>
      <c r="N4" s="120"/>
      <c r="O4" s="121" t="s">
        <v>79</v>
      </c>
      <c r="P4" s="121"/>
    </row>
    <row r="5" s="53" customFormat="true" ht="22.5" hidden="true" customHeight="true" outlineLevel="0" collapsed="false">
      <c r="A5" s="119"/>
      <c r="B5" s="45" t="n">
        <v>1</v>
      </c>
      <c r="C5" s="45"/>
      <c r="D5" s="157"/>
      <c r="E5" s="952"/>
      <c r="F5" s="952"/>
      <c r="G5" s="952"/>
      <c r="H5" s="954"/>
      <c r="I5" s="955" t="s">
        <v>100</v>
      </c>
      <c r="J5" s="737" t="n">
        <v>1</v>
      </c>
      <c r="K5" s="337"/>
      <c r="L5" s="337"/>
      <c r="M5" s="337"/>
      <c r="N5" s="320"/>
      <c r="O5" s="933"/>
      <c r="P5" s="47"/>
    </row>
    <row r="6" s="128" customFormat="true" ht="14.25" hidden="false" customHeight="true" outlineLevel="0" collapsed="false">
      <c r="A6" s="42"/>
      <c r="B6" s="45"/>
      <c r="C6" s="42"/>
      <c r="D6" s="116"/>
      <c r="E6" s="42"/>
      <c r="F6" s="42"/>
      <c r="G6" s="42"/>
      <c r="H6" s="42"/>
      <c r="I6" s="42"/>
      <c r="J6" s="42"/>
      <c r="K6" s="42"/>
      <c r="L6" s="42"/>
      <c r="M6" s="42"/>
      <c r="N6" s="42"/>
      <c r="O6" s="121"/>
      <c r="P6" s="117"/>
    </row>
    <row r="7" s="128" customFormat="true" ht="25.5" hidden="false" customHeight="true" outlineLevel="0" collapsed="false">
      <c r="A7" s="42"/>
      <c r="B7" s="45"/>
      <c r="C7" s="42"/>
      <c r="D7" s="116"/>
      <c r="E7" s="956" t="str">
        <f aca="false">"Форма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956"/>
      <c r="G7" s="956"/>
      <c r="H7" s="956"/>
      <c r="I7" s="956"/>
      <c r="J7" s="956"/>
      <c r="K7" s="956"/>
      <c r="L7" s="956"/>
      <c r="M7" s="956"/>
      <c r="N7" s="109"/>
      <c r="O7" s="121"/>
      <c r="P7" s="117"/>
    </row>
    <row r="8" s="128" customFormat="true" ht="14.25" hidden="false" customHeight="true" outlineLevel="0" collapsed="false">
      <c r="A8" s="42"/>
      <c r="B8" s="45"/>
      <c r="C8" s="42"/>
      <c r="D8" s="116"/>
      <c r="E8" s="42"/>
      <c r="F8" s="130"/>
      <c r="G8" s="130"/>
      <c r="H8" s="130"/>
      <c r="I8" s="130"/>
      <c r="J8" s="130"/>
      <c r="K8" s="130"/>
      <c r="L8" s="130"/>
      <c r="M8" s="130"/>
      <c r="N8" s="130"/>
      <c r="O8" s="117"/>
      <c r="P8" s="117"/>
    </row>
    <row r="9" s="959" customFormat="true" ht="14.25" hidden="true" customHeight="true" outlineLevel="0" collapsed="false">
      <c r="A9" s="43"/>
      <c r="B9" s="44"/>
      <c r="C9" s="43"/>
      <c r="D9" s="116"/>
      <c r="E9" s="957"/>
      <c r="F9" s="957"/>
      <c r="G9" s="957"/>
      <c r="H9" s="957"/>
      <c r="I9" s="957"/>
      <c r="J9" s="957"/>
      <c r="K9" s="957"/>
      <c r="L9" s="957"/>
      <c r="M9" s="958"/>
      <c r="O9" s="191"/>
      <c r="P9" s="191"/>
    </row>
    <row r="10" s="128" customFormat="true" ht="14.25" hidden="false" customHeight="true" outlineLevel="0" collapsed="false">
      <c r="A10" s="42"/>
      <c r="B10" s="45"/>
      <c r="C10" s="42"/>
      <c r="D10" s="116"/>
      <c r="E10" s="269" t="s">
        <v>316</v>
      </c>
      <c r="F10" s="269"/>
      <c r="G10" s="269"/>
      <c r="H10" s="269"/>
      <c r="I10" s="269"/>
      <c r="J10" s="269"/>
      <c r="K10" s="269"/>
      <c r="L10" s="269"/>
      <c r="M10" s="269"/>
      <c r="N10" s="136" t="s">
        <v>317</v>
      </c>
      <c r="O10" s="117"/>
      <c r="P10" s="117"/>
    </row>
    <row r="11" s="128" customFormat="true" ht="42" hidden="false" customHeight="true" outlineLevel="0" collapsed="false">
      <c r="A11" s="42"/>
      <c r="B11" s="45"/>
      <c r="C11" s="42"/>
      <c r="D11" s="116"/>
      <c r="E11" s="935" t="s">
        <v>84</v>
      </c>
      <c r="F11" s="136" t="s">
        <v>320</v>
      </c>
      <c r="G11" s="136" t="s">
        <v>1816</v>
      </c>
      <c r="H11" s="136"/>
      <c r="I11" s="136" t="s">
        <v>1817</v>
      </c>
      <c r="J11" s="136"/>
      <c r="K11" s="136"/>
      <c r="L11" s="136" t="s">
        <v>1818</v>
      </c>
      <c r="M11" s="135" t="s">
        <v>1819</v>
      </c>
      <c r="N11" s="136"/>
      <c r="O11" s="117"/>
      <c r="P11" s="117"/>
    </row>
    <row r="12" s="128" customFormat="true" ht="27.75" hidden="false" customHeight="true" outlineLevel="0" collapsed="false">
      <c r="A12" s="42"/>
      <c r="B12" s="45"/>
      <c r="C12" s="42"/>
      <c r="D12" s="116"/>
      <c r="E12" s="935"/>
      <c r="F12" s="136"/>
      <c r="G12" s="136" t="s">
        <v>1820</v>
      </c>
      <c r="H12" s="136" t="s">
        <v>324</v>
      </c>
      <c r="I12" s="136"/>
      <c r="J12" s="136"/>
      <c r="K12" s="136"/>
      <c r="L12" s="136"/>
      <c r="M12" s="135"/>
      <c r="N12" s="136"/>
      <c r="O12" s="117"/>
      <c r="P12" s="117"/>
    </row>
    <row r="13" s="53" customFormat="true" ht="22.5" hidden="false" customHeight="true" outlineLevel="0" collapsed="false">
      <c r="A13" s="43" t="n">
        <v>26379339</v>
      </c>
      <c r="B13" s="45" t="n">
        <v>1</v>
      </c>
      <c r="C13" s="45"/>
      <c r="D13" s="157"/>
      <c r="E13" s="133" t="n">
        <v>1</v>
      </c>
      <c r="F13" s="960" t="str">
        <f aca="false">IF(region_name="","",region_name)</f>
        <v>Ярославская область</v>
      </c>
      <c r="G13" s="404"/>
      <c r="H13" s="961"/>
      <c r="I13" s="309"/>
      <c r="J13" s="150" t="n">
        <v>1</v>
      </c>
      <c r="K13" s="962"/>
      <c r="L13" s="963"/>
      <c r="M13" s="963"/>
      <c r="N13" s="964" t="s">
        <v>1821</v>
      </c>
      <c r="O13" s="933"/>
      <c r="P13" s="47"/>
    </row>
    <row r="14" s="53" customFormat="true" ht="22.5" hidden="false" customHeight="true" outlineLevel="0" collapsed="false">
      <c r="A14" s="43"/>
      <c r="B14" s="45"/>
      <c r="C14" s="45"/>
      <c r="D14" s="157"/>
      <c r="E14" s="133"/>
      <c r="F14" s="960"/>
      <c r="G14" s="404"/>
      <c r="H14" s="961"/>
      <c r="I14" s="158"/>
      <c r="J14" s="587"/>
      <c r="K14" s="587" t="s">
        <v>1815</v>
      </c>
      <c r="L14" s="950"/>
      <c r="M14" s="950"/>
      <c r="N14" s="964"/>
      <c r="O14" s="933"/>
      <c r="P14" s="47"/>
    </row>
    <row r="15" s="53" customFormat="true" ht="22.5" hidden="false" customHeight="true" outlineLevel="0" collapsed="false">
      <c r="A15" s="43"/>
      <c r="B15" s="45"/>
      <c r="C15" s="156"/>
      <c r="D15" s="157"/>
      <c r="E15" s="158"/>
      <c r="F15" s="587" t="s">
        <v>1807</v>
      </c>
      <c r="G15" s="938"/>
      <c r="H15" s="938"/>
      <c r="I15" s="161"/>
      <c r="J15" s="161"/>
      <c r="K15" s="161"/>
      <c r="L15" s="161"/>
      <c r="M15" s="161"/>
      <c r="N15" s="964"/>
      <c r="O15" s="940"/>
      <c r="P15" s="47"/>
    </row>
    <row r="16" s="128" customFormat="true" ht="21" hidden="false" customHeight="true" outlineLevel="0" collapsed="false">
      <c r="A16" s="42"/>
      <c r="B16" s="45"/>
      <c r="C16" s="42"/>
      <c r="D16" s="116"/>
      <c r="E16" s="169"/>
      <c r="F16" s="169"/>
      <c r="G16" s="169"/>
      <c r="H16" s="169"/>
      <c r="I16" s="169"/>
      <c r="J16" s="169"/>
      <c r="K16" s="169"/>
      <c r="L16" s="169"/>
      <c r="M16" s="42"/>
      <c r="N16" s="42"/>
      <c r="O16" s="117"/>
      <c r="P16" s="117"/>
    </row>
    <row r="17" s="128" customFormat="true" ht="14.25" hidden="false" customHeight="true" outlineLevel="0" collapsed="false">
      <c r="A17" s="42"/>
      <c r="B17" s="45"/>
      <c r="C17" s="42"/>
      <c r="D17" s="116"/>
      <c r="E17" s="42"/>
      <c r="F17" s="42"/>
      <c r="G17" s="42"/>
      <c r="H17" s="42"/>
      <c r="I17" s="42"/>
      <c r="J17" s="42"/>
      <c r="K17" s="42"/>
      <c r="L17" s="42"/>
      <c r="M17" s="42"/>
      <c r="N17" s="42"/>
      <c r="O17" s="117"/>
      <c r="P17" s="117"/>
    </row>
    <row r="18" s="128" customFormat="true" ht="0.75" hidden="false" customHeight="true" outlineLevel="0" collapsed="false">
      <c r="A18" s="42"/>
      <c r="B18" s="45"/>
      <c r="C18" s="42"/>
      <c r="D18" s="116"/>
      <c r="E18" s="42"/>
      <c r="F18" s="42"/>
      <c r="G18" s="42"/>
      <c r="H18" s="42"/>
      <c r="I18" s="42"/>
      <c r="J18" s="42"/>
      <c r="K18" s="42"/>
      <c r="L18" s="42"/>
      <c r="M18" s="42"/>
      <c r="N18" s="42"/>
      <c r="O18" s="117"/>
      <c r="P18" s="117"/>
    </row>
  </sheetData>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dataValidations count="1">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3:M3 L4:N4 L14:M1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L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1" min="1" style="54" width="9.14"/>
    <col collapsed="false" customWidth="false" hidden="true" outlineLevel="0" max="2" min="2" style="131" width="9.14"/>
    <col collapsed="false" customWidth="true" hidden="false" outlineLevel="0" max="3" min="3" style="965" width="3.71"/>
    <col collapsed="false" customWidth="true" hidden="false" outlineLevel="0" max="4" min="4" style="131" width="7"/>
    <col collapsed="false" customWidth="true" hidden="false" outlineLevel="0" max="5" min="5" style="131" width="23.14"/>
    <col collapsed="false" customWidth="true" hidden="false" outlineLevel="0" max="6" min="6" style="131" width="16"/>
    <col collapsed="false" customWidth="true" hidden="false" outlineLevel="0" max="7" min="7" style="131" width="14.85"/>
    <col collapsed="false" customWidth="true" hidden="false" outlineLevel="0" max="8" min="8" style="131" width="47.85"/>
    <col collapsed="false" customWidth="true" hidden="false" outlineLevel="0" max="9" min="9" style="131" width="115.71"/>
    <col collapsed="false" customWidth="true" hidden="false" outlineLevel="0" max="10" min="10" style="131" width="3.71"/>
    <col collapsed="false" customWidth="false" hidden="false" outlineLevel="0" max="12" min="11" style="131" width="9.14"/>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3" hidden="false" customHeight="true" outlineLevel="0" collapsed="false"/>
    <row r="5" s="42" customFormat="true" ht="30" hidden="false" customHeight="true" outlineLevel="0" collapsed="false">
      <c r="A5" s="45"/>
      <c r="C5" s="333"/>
      <c r="D5" s="129" t="s">
        <v>1822</v>
      </c>
      <c r="E5" s="129"/>
      <c r="F5" s="129"/>
      <c r="G5" s="129"/>
      <c r="H5" s="129"/>
      <c r="I5" s="213"/>
    </row>
    <row r="6" customFormat="false" ht="3" hidden="true" customHeight="true" outlineLevel="0" collapsed="false">
      <c r="D6" s="288"/>
      <c r="E6" s="288"/>
      <c r="F6" s="288"/>
      <c r="G6" s="288"/>
      <c r="H6" s="288"/>
      <c r="I6" s="288"/>
    </row>
    <row r="7" s="54" customFormat="true" ht="14.25" hidden="false" customHeight="true" outlineLevel="0" collapsed="false">
      <c r="B7" s="131"/>
      <c r="C7" s="965"/>
      <c r="D7" s="966"/>
      <c r="E7" s="966"/>
      <c r="F7" s="966"/>
      <c r="G7" s="966"/>
      <c r="H7" s="296"/>
      <c r="I7" s="966"/>
      <c r="J7" s="922"/>
    </row>
    <row r="8" customFormat="false" ht="14.25" hidden="false" customHeight="true" outlineLevel="0" collapsed="false">
      <c r="D8" s="394" t="s">
        <v>316</v>
      </c>
      <c r="E8" s="394"/>
      <c r="F8" s="394"/>
      <c r="G8" s="394"/>
      <c r="H8" s="394"/>
      <c r="I8" s="394" t="s">
        <v>317</v>
      </c>
    </row>
    <row r="9" customFormat="false" ht="27.75" hidden="false" customHeight="true" outlineLevel="0" collapsed="false">
      <c r="D9" s="394" t="s">
        <v>84</v>
      </c>
      <c r="E9" s="394" t="s">
        <v>1823</v>
      </c>
      <c r="F9" s="394"/>
      <c r="G9" s="394"/>
      <c r="H9" s="394"/>
      <c r="I9" s="394"/>
    </row>
    <row r="10" customFormat="false" ht="22.5" hidden="false" customHeight="true" outlineLevel="0" collapsed="false">
      <c r="D10" s="394"/>
      <c r="E10" s="394" t="s">
        <v>1824</v>
      </c>
      <c r="F10" s="394" t="s">
        <v>1825</v>
      </c>
      <c r="G10" s="394" t="s">
        <v>1826</v>
      </c>
      <c r="H10" s="394" t="s">
        <v>406</v>
      </c>
      <c r="I10" s="394"/>
    </row>
    <row r="11" customFormat="false" ht="12" hidden="true" customHeight="true" outlineLevel="0" collapsed="false">
      <c r="D11" s="366" t="s">
        <v>117</v>
      </c>
      <c r="E11" s="366" t="s">
        <v>87</v>
      </c>
      <c r="F11" s="366" t="s">
        <v>118</v>
      </c>
      <c r="G11" s="366" t="s">
        <v>88</v>
      </c>
      <c r="H11" s="366" t="s">
        <v>89</v>
      </c>
      <c r="I11" s="366" t="s">
        <v>119</v>
      </c>
    </row>
    <row r="12" s="131" customFormat="true" ht="24.75" hidden="false" customHeight="true" outlineLevel="0" collapsed="false">
      <c r="A12" s="54" t="s">
        <v>86</v>
      </c>
      <c r="C12" s="281"/>
      <c r="D12" s="197" t="s">
        <v>117</v>
      </c>
      <c r="E12" s="337"/>
      <c r="F12" s="337"/>
      <c r="G12" s="441"/>
      <c r="H12" s="406"/>
      <c r="I12" s="798" t="s">
        <v>1827</v>
      </c>
      <c r="K12" s="967"/>
      <c r="L12" s="155"/>
    </row>
    <row r="13" customFormat="false" ht="15" hidden="false" customHeight="true" outlineLevel="0" collapsed="false">
      <c r="A13" s="131"/>
      <c r="C13" s="131"/>
      <c r="D13" s="735"/>
      <c r="E13" s="167" t="s">
        <v>481</v>
      </c>
      <c r="F13" s="811"/>
      <c r="G13" s="811"/>
      <c r="H13" s="810"/>
      <c r="I13" s="798"/>
    </row>
    <row r="14" customFormat="false" ht="3" hidden="false" customHeight="true" outlineLevel="0" collapsed="false">
      <c r="A14" s="131"/>
      <c r="C14" s="131"/>
    </row>
    <row r="15" customFormat="false" ht="27.75" hidden="false" customHeight="true" outlineLevel="0" collapsed="false">
      <c r="E15" s="968" t="s">
        <v>1828</v>
      </c>
      <c r="F15" s="968"/>
      <c r="G15" s="968"/>
      <c r="H15" s="968"/>
    </row>
  </sheetData>
  <mergeCells count="7">
    <mergeCell ref="D5:H5"/>
    <mergeCell ref="D8:H8"/>
    <mergeCell ref="I8:I10"/>
    <mergeCell ref="D9:D10"/>
    <mergeCell ref="E9:H9"/>
    <mergeCell ref="I12:I13"/>
    <mergeCell ref="E15:H1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I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2" min="1" style="969" width="9.14"/>
    <col collapsed="false" customWidth="true" hidden="false" outlineLevel="0" max="3" min="3" style="970" width="3.71"/>
    <col collapsed="false" customWidth="true" hidden="false" outlineLevel="0" max="4" min="4" style="969" width="6.28"/>
    <col collapsed="false" customWidth="true" hidden="false" outlineLevel="0" max="5" min="5" style="969" width="94.85"/>
    <col collapsed="false" customWidth="false" hidden="false" outlineLevel="0" max="9" min="6" style="969" width="9.14"/>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971"/>
      <c r="D6" s="288"/>
      <c r="E6" s="288"/>
    </row>
    <row r="7" customFormat="false" ht="22.5" hidden="false" customHeight="true" outlineLevel="0" collapsed="false">
      <c r="C7" s="971"/>
      <c r="D7" s="972" t="s">
        <v>1829</v>
      </c>
      <c r="E7" s="972"/>
      <c r="F7" s="973"/>
    </row>
    <row r="8" customFormat="false" ht="3" hidden="false" customHeight="true" outlineLevel="0" collapsed="false">
      <c r="C8" s="971"/>
      <c r="D8" s="288"/>
      <c r="E8" s="288"/>
    </row>
    <row r="9" customFormat="false" ht="15.75" hidden="false" customHeight="true" outlineLevel="0" collapsed="false">
      <c r="C9" s="971"/>
      <c r="D9" s="394" t="s">
        <v>84</v>
      </c>
      <c r="E9" s="145" t="s">
        <v>1830</v>
      </c>
    </row>
    <row r="10" customFormat="false" ht="0.75" hidden="false" customHeight="true" outlineLevel="0" collapsed="false">
      <c r="C10" s="971"/>
      <c r="D10" s="366"/>
      <c r="E10" s="366"/>
    </row>
    <row r="11" customFormat="false" ht="11.25" hidden="true" customHeight="true" outlineLevel="0" collapsed="false">
      <c r="C11" s="971"/>
      <c r="D11" s="974" t="n">
        <v>0</v>
      </c>
      <c r="E11" s="975"/>
    </row>
    <row r="12" customFormat="false" ht="15" hidden="false" customHeight="true" outlineLevel="0" collapsed="false">
      <c r="C12" s="333"/>
      <c r="D12" s="806" t="n">
        <v>1</v>
      </c>
      <c r="E12" s="337"/>
    </row>
    <row r="13" customFormat="false" ht="12" hidden="false" customHeight="true" outlineLevel="0" collapsed="false">
      <c r="C13" s="971"/>
      <c r="D13" s="380"/>
      <c r="E13" s="976" t="s">
        <v>1831</v>
      </c>
    </row>
    <row r="14" customFormat="false" ht="3" hidden="false" customHeight="true" outlineLevel="0" collapsed="false"/>
    <row r="15" customFormat="false" ht="22.5" hidden="false" customHeight="true" outlineLevel="0" collapsed="false">
      <c r="C15" s="977"/>
      <c r="D15" s="978" t="s">
        <v>1832</v>
      </c>
      <c r="E15" s="978"/>
      <c r="F15" s="767"/>
      <c r="G15" s="767"/>
      <c r="H15" s="767"/>
      <c r="I15" s="767"/>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F1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2" min="1" style="969" width="9.14"/>
    <col collapsed="false" customWidth="true" hidden="false" outlineLevel="0" max="3" min="3" style="970" width="3.71"/>
    <col collapsed="false" customWidth="true" hidden="false" outlineLevel="0" max="4" min="4" style="969" width="6.28"/>
    <col collapsed="false" customWidth="true" hidden="false" outlineLevel="0" max="5" min="5" style="969" width="94.85"/>
    <col collapsed="false" customWidth="false" hidden="false" outlineLevel="0" max="12" min="6" style="969" width="9.14"/>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971"/>
      <c r="D6" s="288"/>
      <c r="E6" s="288"/>
    </row>
    <row r="7" customFormat="false" ht="22.5" hidden="false" customHeight="true" outlineLevel="0" collapsed="false">
      <c r="C7" s="971"/>
      <c r="D7" s="972" t="s">
        <v>1833</v>
      </c>
      <c r="E7" s="972"/>
      <c r="F7" s="973"/>
    </row>
    <row r="8" customFormat="false" ht="3" hidden="false" customHeight="true" outlineLevel="0" collapsed="false">
      <c r="C8" s="971"/>
      <c r="D8" s="288"/>
      <c r="E8" s="288"/>
    </row>
    <row r="9" customFormat="false" ht="15.75" hidden="false" customHeight="true" outlineLevel="0" collapsed="false">
      <c r="C9" s="971"/>
      <c r="D9" s="394" t="s">
        <v>84</v>
      </c>
      <c r="E9" s="184" t="s">
        <v>303</v>
      </c>
    </row>
    <row r="10" customFormat="false" ht="12" hidden="false" customHeight="true" outlineLevel="0" collapsed="false">
      <c r="C10" s="971"/>
      <c r="D10" s="366" t="s">
        <v>117</v>
      </c>
      <c r="E10" s="366" t="s">
        <v>99</v>
      </c>
    </row>
    <row r="11" customFormat="false" ht="15" hidden="true" customHeight="true" outlineLevel="0" collapsed="false">
      <c r="C11" s="971"/>
      <c r="D11" s="806" t="n">
        <v>0</v>
      </c>
      <c r="E11" s="396"/>
    </row>
    <row r="12" customFormat="false" ht="14.25" hidden="false" customHeight="true" outlineLevel="0" collapsed="false">
      <c r="C12" s="971"/>
      <c r="D12" s="735"/>
      <c r="E12" s="976" t="s">
        <v>1831</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B1:E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false" outlineLevel="0" max="1" min="1" style="53" width="1.71"/>
    <col collapsed="false" customWidth="true" hidden="false" outlineLevel="0" max="2" min="2" style="53" width="34.57"/>
    <col collapsed="false" customWidth="true" hidden="false" outlineLevel="0" max="3" min="3" style="53" width="85.57"/>
    <col collapsed="false" customWidth="true" hidden="false" outlineLevel="0" max="4" min="4" style="53" width="17.71"/>
    <col collapsed="false" customWidth="false" hidden="false" outlineLevel="0" max="5" min="5" style="53" width="9.14"/>
  </cols>
  <sheetData>
    <row r="1" customFormat="false" ht="3" hidden="false" customHeight="true" outlineLevel="0" collapsed="false"/>
    <row r="2" customFormat="false" ht="22.5" hidden="false" customHeight="true" outlineLevel="0" collapsed="false">
      <c r="B2" s="979" t="s">
        <v>1834</v>
      </c>
      <c r="C2" s="979"/>
      <c r="D2" s="979"/>
      <c r="E2" s="980"/>
    </row>
    <row r="3" customFormat="false" ht="3" hidden="false" customHeight="true" outlineLevel="0" collapsed="false"/>
    <row r="4" customFormat="false" ht="21.75" hidden="false" customHeight="true" outlineLevel="0" collapsed="false">
      <c r="B4" s="981" t="s">
        <v>1835</v>
      </c>
      <c r="C4" s="981" t="s">
        <v>1836</v>
      </c>
      <c r="D4" s="981" t="s">
        <v>1837</v>
      </c>
    </row>
  </sheetData>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1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8.75390625" defaultRowHeight="16.5" zeroHeight="false" outlineLevelRow="0" outlineLevelCol="0"/>
  <cols>
    <col collapsed="false" customWidth="true" hidden="false" outlineLevel="0" max="1" min="1" style="53" width="26.57"/>
    <col collapsed="false" customWidth="true" hidden="false" outlineLevel="0" max="2" min="2" style="53" width="10"/>
    <col collapsed="false" customWidth="true" hidden="false" outlineLevel="0" max="3" min="3" style="53" width="9.14"/>
    <col collapsed="false" customWidth="true" hidden="false" outlineLevel="0" max="4" min="4" style="53" width="11.14"/>
    <col collapsed="false" customWidth="true" hidden="false" outlineLevel="0" max="5" min="5" style="53" width="16.57"/>
    <col collapsed="false" customWidth="true" hidden="false" outlineLevel="0" max="6" min="6" style="53" width="16.28"/>
    <col collapsed="false" customWidth="true" hidden="false" outlineLevel="0" max="7" min="7" style="53" width="19.14"/>
    <col collapsed="false" customWidth="true" hidden="false" outlineLevel="0" max="11" min="8" style="53" width="10"/>
    <col collapsed="false" customWidth="true" hidden="false" outlineLevel="0" max="12" min="12" style="53" width="12.71"/>
    <col collapsed="false" customWidth="true" hidden="false" outlineLevel="0" max="13" min="13" style="53" width="61.28"/>
    <col collapsed="false" customWidth="true" hidden="false" outlineLevel="0" max="14" min="14" style="53" width="10"/>
    <col collapsed="false" customWidth="true" hidden="false" outlineLevel="0" max="17" min="15" style="53" width="23.71"/>
    <col collapsed="false" customWidth="true" hidden="false" outlineLevel="0" max="18" min="18" style="53" width="11.71"/>
    <col collapsed="false" customWidth="true" hidden="false" outlineLevel="0" max="19" min="19" style="53" width="8.57"/>
    <col collapsed="false" customWidth="true" hidden="false" outlineLevel="0" max="20" min="20" style="53" width="11.71"/>
    <col collapsed="false" customWidth="true" hidden="false" outlineLevel="0" max="21" min="21" style="53" width="8.57"/>
    <col collapsed="false" customWidth="true" hidden="false" outlineLevel="0" max="22" min="22" style="53" width="4.71"/>
    <col collapsed="false" customWidth="true" hidden="false" outlineLevel="0" max="23" min="23" style="53" width="115.71"/>
    <col collapsed="false" customWidth="true" hidden="false" outlineLevel="0" max="24" min="24" style="53" width="115.28"/>
    <col collapsed="false" customWidth="true" hidden="false" outlineLevel="0" max="27" min="25" style="53" width="9.14"/>
    <col collapsed="false" customWidth="true" hidden="false" outlineLevel="0" max="28" min="28" style="53" width="115.71"/>
    <col collapsed="false" customWidth="true" hidden="false" outlineLevel="0" max="29" min="29" style="53" width="9.14"/>
    <col collapsed="false" customWidth="true" hidden="false" outlineLevel="0" max="90" min="30" style="53" width="115.71"/>
    <col collapsed="false" customWidth="true" hidden="false" outlineLevel="0" max="184" min="91" style="53" width="9.14"/>
  </cols>
  <sheetData>
    <row r="2" s="982" customFormat="true" ht="17.25" hidden="false" customHeight="true" outlineLevel="0" collapsed="false">
      <c r="A2" s="982" t="s">
        <v>1838</v>
      </c>
    </row>
    <row r="4" s="969" customFormat="true" ht="15" hidden="false" customHeight="true" outlineLevel="0" collapsed="false">
      <c r="C4" s="333"/>
      <c r="D4" s="806"/>
      <c r="E4" s="337"/>
    </row>
    <row r="6" s="982" customFormat="true" ht="17.25" hidden="false" customHeight="true" outlineLevel="0" collapsed="false">
      <c r="A6" s="982" t="s">
        <v>1839</v>
      </c>
    </row>
    <row r="8" s="969" customFormat="true" ht="17.25" hidden="false" customHeight="true" outlineLevel="0" collapsed="false">
      <c r="C8" s="983"/>
      <c r="D8" s="806"/>
      <c r="E8" s="245"/>
    </row>
    <row r="11" s="982" customFormat="true" ht="17.25" hidden="false" customHeight="true" outlineLevel="0" collapsed="false">
      <c r="A11" s="982" t="s">
        <v>1840</v>
      </c>
    </row>
    <row r="13" s="128" customFormat="true" ht="15" hidden="false" customHeight="true" outlineLevel="0" collapsed="false">
      <c r="A13" s="44" t="n">
        <v>1</v>
      </c>
      <c r="B13" s="45"/>
      <c r="C13" s="157" t="s">
        <v>100</v>
      </c>
      <c r="D13" s="116"/>
      <c r="E13" s="145" t="n">
        <f aca="false">A13</f>
        <v>1</v>
      </c>
      <c r="F13" s="163"/>
      <c r="G13" s="147" t="str">
        <f aca="false">"Территория "&amp;E13</f>
        <v>Территория 1</v>
      </c>
      <c r="H13" s="148"/>
      <c r="I13" s="148"/>
      <c r="J13" s="117"/>
      <c r="K13" s="117"/>
      <c r="L13" s="117"/>
      <c r="M13" s="117"/>
      <c r="N13" s="117"/>
      <c r="O13" s="117"/>
      <c r="P13" s="118"/>
      <c r="Q13" s="118"/>
      <c r="R13" s="118"/>
      <c r="S13" s="118"/>
    </row>
    <row r="14" s="53" customFormat="true" ht="15" hidden="false" customHeight="true" outlineLevel="0" collapsed="false">
      <c r="A14" s="44"/>
      <c r="B14" s="45" t="n">
        <v>1</v>
      </c>
      <c r="C14" s="45"/>
      <c r="D14" s="149"/>
      <c r="E14" s="150" t="str">
        <f aca="false">A13&amp;"."&amp;B14</f>
        <v>1.1</v>
      </c>
      <c r="F14" s="164" t="n">
        <f aca="false">$F$20</f>
        <v>0</v>
      </c>
      <c r="G14" s="152"/>
      <c r="H14" s="152"/>
      <c r="I14" s="153"/>
      <c r="J14" s="117"/>
      <c r="K14" s="47"/>
      <c r="L14" s="47"/>
      <c r="M14" s="117" t="str">
        <f aca="false" t="array" ref="M14:M14">IF(ISERROR(MATCH(MID(N14,1,250),MID(note_ter,1,250),0)),"n","y")</f>
        <v>n</v>
      </c>
      <c r="N14" s="47"/>
      <c r="O14" s="117" t="str">
        <f aca="false">H14&amp;"("&amp;I14&amp;")"</f>
        <v>()</v>
      </c>
      <c r="P14" s="45"/>
      <c r="Q14" s="45"/>
      <c r="R14" s="154"/>
      <c r="S14" s="45"/>
      <c r="T14" s="45"/>
      <c r="U14" s="45"/>
      <c r="V14" s="54"/>
      <c r="W14" s="54"/>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54"/>
      <c r="BT14" s="54"/>
      <c r="BU14" s="54"/>
      <c r="BV14" s="54"/>
      <c r="BW14" s="54"/>
      <c r="BX14" s="54"/>
      <c r="BY14" s="54"/>
      <c r="BZ14" s="54"/>
      <c r="CA14" s="54"/>
      <c r="CB14" s="54"/>
    </row>
    <row r="15" s="53" customFormat="true" ht="15" hidden="false" customHeight="true" outlineLevel="0" collapsed="false">
      <c r="A15" s="44"/>
      <c r="B15" s="45"/>
      <c r="C15" s="156"/>
      <c r="D15" s="157"/>
      <c r="E15" s="158"/>
      <c r="F15" s="159"/>
      <c r="G15" s="160" t="s">
        <v>98</v>
      </c>
      <c r="H15" s="161"/>
      <c r="I15" s="162"/>
      <c r="J15" s="47"/>
      <c r="K15" s="47"/>
      <c r="L15" s="47"/>
      <c r="M15" s="47"/>
      <c r="N15" s="117"/>
      <c r="O15" s="47"/>
      <c r="P15" s="45"/>
      <c r="Q15" s="45"/>
      <c r="R15" s="154"/>
      <c r="S15" s="45"/>
      <c r="T15" s="45"/>
      <c r="U15" s="45"/>
      <c r="V15" s="54"/>
      <c r="W15" s="54"/>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54"/>
      <c r="BT15" s="54"/>
      <c r="BU15" s="54"/>
      <c r="BV15" s="54"/>
      <c r="BW15" s="54"/>
      <c r="BX15" s="54"/>
      <c r="BY15" s="54"/>
      <c r="BZ15" s="54"/>
      <c r="CA15" s="54"/>
      <c r="CB15" s="54"/>
    </row>
    <row r="17" s="982" customFormat="true" ht="17.25" hidden="false" customHeight="true" outlineLevel="0" collapsed="false">
      <c r="A17" s="982" t="s">
        <v>1841</v>
      </c>
    </row>
    <row r="19" s="53" customFormat="true" ht="15" hidden="false" customHeight="true" outlineLevel="0" collapsed="false">
      <c r="A19" s="44"/>
      <c r="B19" s="45" t="n">
        <v>1</v>
      </c>
      <c r="C19" s="45"/>
      <c r="D19" s="149" t="s">
        <v>100</v>
      </c>
      <c r="E19" s="145"/>
      <c r="F19" s="431" t="n">
        <f aca="false">$F$20</f>
        <v>0</v>
      </c>
      <c r="G19" s="984"/>
      <c r="H19" s="984"/>
      <c r="I19" s="985"/>
      <c r="J19" s="117"/>
      <c r="K19" s="47"/>
      <c r="L19" s="47"/>
      <c r="M19" s="117" t="str">
        <f aca="false" t="array" ref="M19:M19">IF(ISERROR(MATCH(MID(N19,1,250),MID(note_ter,1,250),0)),"n","y")</f>
        <v>n</v>
      </c>
      <c r="N19" s="47"/>
      <c r="O19" s="117" t="str">
        <f aca="false">H19&amp;"("&amp;I19&amp;")"</f>
        <v>()</v>
      </c>
      <c r="P19" s="45"/>
      <c r="Q19" s="45"/>
      <c r="R19" s="154"/>
      <c r="S19" s="45"/>
      <c r="T19" s="45"/>
      <c r="U19" s="45"/>
      <c r="V19" s="54"/>
      <c r="W19" s="54"/>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54"/>
      <c r="BT19" s="54"/>
      <c r="BU19" s="54"/>
      <c r="BV19" s="54"/>
      <c r="BW19" s="54"/>
      <c r="BX19" s="54"/>
      <c r="BY19" s="54"/>
      <c r="BZ19" s="54"/>
      <c r="CA19" s="54"/>
      <c r="CB19" s="54"/>
    </row>
    <row r="21" s="53" customFormat="true" ht="15" hidden="false" customHeight="true" outlineLevel="0" collapsed="false">
      <c r="A21" s="982" t="s">
        <v>1842</v>
      </c>
      <c r="B21" s="982"/>
      <c r="C21" s="982"/>
      <c r="D21" s="982"/>
      <c r="E21" s="982"/>
      <c r="F21" s="982"/>
      <c r="G21" s="982"/>
      <c r="H21" s="982"/>
      <c r="I21" s="982"/>
      <c r="J21" s="982"/>
      <c r="K21" s="982"/>
      <c r="L21" s="982"/>
      <c r="M21" s="982"/>
      <c r="N21" s="982"/>
      <c r="O21" s="982"/>
      <c r="P21" s="982"/>
      <c r="Q21" s="982"/>
      <c r="R21" s="982"/>
      <c r="S21" s="982"/>
      <c r="T21" s="982"/>
      <c r="U21" s="986"/>
      <c r="V21" s="982"/>
      <c r="W21" s="982"/>
    </row>
    <row r="22" s="53" customFormat="true" ht="15" hidden="false" customHeight="true" outlineLevel="0" collapsed="false">
      <c r="U22" s="987"/>
    </row>
    <row r="23" s="174" customFormat="true" ht="15" hidden="false" customHeight="true" outlineLevel="0" collapsed="false">
      <c r="A23" s="53"/>
      <c r="B23" s="53"/>
      <c r="C23" s="730" t="s">
        <v>100</v>
      </c>
      <c r="D23" s="197" t="s">
        <v>117</v>
      </c>
      <c r="E23" s="198"/>
      <c r="F23" s="203" t="s">
        <v>53</v>
      </c>
      <c r="G23" s="988"/>
      <c r="H23" s="133" t="n">
        <v>1</v>
      </c>
      <c r="I23" s="743" t="str">
        <f aca="false">IF(U23="","",INDEX(TERRITORY_MR_LIST,MATCH(U23,TERRITORY_LIST_ID,0)))</f>
        <v/>
      </c>
      <c r="J23" s="203" t="s">
        <v>53</v>
      </c>
      <c r="K23" s="989"/>
      <c r="L23" s="197" t="s">
        <v>117</v>
      </c>
      <c r="M23" s="205"/>
      <c r="N23" s="139"/>
      <c r="O23" s="139"/>
      <c r="P23" s="139"/>
      <c r="Q23" s="139"/>
      <c r="R23" s="139"/>
      <c r="S23" s="139"/>
      <c r="T23" s="139"/>
      <c r="U23" s="990"/>
      <c r="V23" s="139"/>
      <c r="W23" s="139"/>
      <c r="X23" s="139"/>
      <c r="Y23" s="139" t="s">
        <v>125</v>
      </c>
      <c r="Z23" s="139" t="n">
        <v>1705000</v>
      </c>
      <c r="AA23" s="139"/>
      <c r="AB23" s="139"/>
      <c r="AC23" s="139"/>
      <c r="AD23" s="139"/>
      <c r="AE23" s="139"/>
      <c r="AF23" s="139"/>
      <c r="AG23" s="139"/>
      <c r="AH23" s="139"/>
      <c r="AI23" s="139"/>
      <c r="AJ23" s="139"/>
      <c r="AK23" s="139"/>
      <c r="AL23" s="139"/>
    </row>
    <row r="24" s="174" customFormat="true" ht="15" hidden="false" customHeight="true" outlineLevel="0" collapsed="false">
      <c r="A24" s="53"/>
      <c r="B24" s="53"/>
      <c r="C24" s="137"/>
      <c r="D24" s="197"/>
      <c r="E24" s="198"/>
      <c r="F24" s="203"/>
      <c r="G24" s="988"/>
      <c r="H24" s="133"/>
      <c r="I24" s="743"/>
      <c r="J24" s="203"/>
      <c r="K24" s="158"/>
      <c r="L24" s="159"/>
      <c r="M24" s="206" t="s">
        <v>126</v>
      </c>
      <c r="N24" s="139"/>
      <c r="O24" s="139"/>
      <c r="P24" s="139"/>
      <c r="Q24" s="139"/>
      <c r="R24" s="139"/>
      <c r="S24" s="139"/>
      <c r="T24" s="139"/>
      <c r="U24" s="990"/>
      <c r="V24" s="139"/>
      <c r="W24" s="139"/>
      <c r="X24" s="139"/>
      <c r="Y24" s="139"/>
      <c r="Z24" s="139"/>
      <c r="AA24" s="139"/>
      <c r="AB24" s="139"/>
      <c r="AC24" s="139"/>
      <c r="AD24" s="139"/>
      <c r="AE24" s="139"/>
      <c r="AF24" s="139"/>
      <c r="AG24" s="139"/>
      <c r="AH24" s="139"/>
      <c r="AI24" s="139"/>
      <c r="AJ24" s="139"/>
      <c r="AK24" s="139"/>
      <c r="AL24" s="139"/>
    </row>
    <row r="25" s="174" customFormat="true" ht="15" hidden="false" customHeight="true" outlineLevel="0" collapsed="false">
      <c r="A25" s="53"/>
      <c r="B25" s="53"/>
      <c r="C25" s="137"/>
      <c r="D25" s="197"/>
      <c r="E25" s="198"/>
      <c r="F25" s="203"/>
      <c r="G25" s="158"/>
      <c r="H25" s="159"/>
      <c r="I25" s="160" t="s">
        <v>127</v>
      </c>
      <c r="J25" s="159"/>
      <c r="K25" s="159"/>
      <c r="L25" s="159"/>
      <c r="M25" s="209"/>
      <c r="N25" s="139"/>
      <c r="O25" s="139"/>
      <c r="P25" s="139"/>
      <c r="Q25" s="139"/>
      <c r="R25" s="139"/>
      <c r="S25" s="139"/>
      <c r="T25" s="139"/>
      <c r="U25" s="990"/>
      <c r="V25" s="139"/>
      <c r="W25" s="139"/>
      <c r="X25" s="139"/>
      <c r="Y25" s="139"/>
      <c r="Z25" s="139"/>
      <c r="AA25" s="139"/>
      <c r="AB25" s="139"/>
      <c r="AC25" s="139"/>
      <c r="AD25" s="139"/>
      <c r="AE25" s="139"/>
      <c r="AF25" s="139"/>
      <c r="AG25" s="139"/>
      <c r="AH25" s="139"/>
      <c r="AI25" s="139"/>
      <c r="AJ25" s="139"/>
      <c r="AK25" s="139"/>
      <c r="AL25" s="139"/>
    </row>
    <row r="26" s="53" customFormat="true" ht="15" hidden="false" customHeight="true" outlineLevel="0" collapsed="false">
      <c r="U26" s="987"/>
    </row>
    <row r="27" s="53" customFormat="true" ht="15" hidden="false" customHeight="true" outlineLevel="0" collapsed="false">
      <c r="A27" s="982" t="s">
        <v>1843</v>
      </c>
      <c r="B27" s="982"/>
      <c r="C27" s="982"/>
      <c r="D27" s="982"/>
      <c r="E27" s="982"/>
      <c r="F27" s="982"/>
      <c r="G27" s="982"/>
      <c r="H27" s="982"/>
      <c r="I27" s="982"/>
      <c r="J27" s="982"/>
      <c r="K27" s="982"/>
      <c r="L27" s="982"/>
      <c r="M27" s="982"/>
      <c r="N27" s="982"/>
      <c r="O27" s="982"/>
      <c r="P27" s="982"/>
      <c r="Q27" s="982"/>
      <c r="R27" s="982"/>
      <c r="S27" s="982"/>
      <c r="T27" s="982"/>
      <c r="U27" s="986"/>
      <c r="V27" s="982"/>
      <c r="W27" s="982"/>
    </row>
    <row r="28" s="53" customFormat="true" ht="15" hidden="false" customHeight="true" outlineLevel="0" collapsed="false">
      <c r="U28" s="987"/>
    </row>
    <row r="29" s="174" customFormat="true" ht="15" hidden="false" customHeight="true" outlineLevel="0" collapsed="false">
      <c r="A29" s="53"/>
      <c r="B29" s="53"/>
      <c r="C29" s="137"/>
      <c r="D29" s="991"/>
      <c r="E29" s="991"/>
      <c r="F29" s="991"/>
      <c r="G29" s="992" t="s">
        <v>100</v>
      </c>
      <c r="H29" s="501" t="n">
        <v>1</v>
      </c>
      <c r="I29" s="993" t="str">
        <f aca="false">IF(U29="","",INDEX(TERRITORY_MR_LIST,MATCH(U29,TERRITORY_LIST_ID,0)))</f>
        <v/>
      </c>
      <c r="J29" s="203" t="s">
        <v>53</v>
      </c>
      <c r="K29" s="989"/>
      <c r="L29" s="197" t="s">
        <v>117</v>
      </c>
      <c r="M29" s="205"/>
      <c r="N29" s="139"/>
      <c r="O29" s="139"/>
      <c r="P29" s="139"/>
      <c r="Q29" s="139"/>
      <c r="R29" s="139"/>
      <c r="S29" s="139"/>
      <c r="T29" s="139"/>
      <c r="U29" s="990"/>
      <c r="V29" s="139"/>
      <c r="W29" s="139"/>
      <c r="X29" s="139"/>
      <c r="Y29" s="139" t="s">
        <v>125</v>
      </c>
      <c r="Z29" s="139" t="n">
        <v>1705000</v>
      </c>
      <c r="AA29" s="139"/>
      <c r="AB29" s="139"/>
      <c r="AC29" s="139"/>
      <c r="AD29" s="139"/>
      <c r="AE29" s="139"/>
      <c r="AF29" s="139"/>
      <c r="AG29" s="139"/>
      <c r="AH29" s="139"/>
      <c r="AI29" s="139"/>
      <c r="AJ29" s="139"/>
      <c r="AK29" s="139"/>
      <c r="AL29" s="139"/>
    </row>
    <row r="30" s="174" customFormat="true" ht="15" hidden="false" customHeight="true" outlineLevel="0" collapsed="false">
      <c r="A30" s="53"/>
      <c r="B30" s="53"/>
      <c r="C30" s="137"/>
      <c r="D30" s="991"/>
      <c r="E30" s="991"/>
      <c r="F30" s="991"/>
      <c r="G30" s="992"/>
      <c r="H30" s="501"/>
      <c r="I30" s="993"/>
      <c r="J30" s="203"/>
      <c r="K30" s="158"/>
      <c r="L30" s="159"/>
      <c r="M30" s="206" t="s">
        <v>126</v>
      </c>
      <c r="N30" s="139"/>
      <c r="O30" s="139"/>
      <c r="P30" s="139"/>
      <c r="Q30" s="139"/>
      <c r="R30" s="139"/>
      <c r="S30" s="139"/>
      <c r="T30" s="139"/>
      <c r="U30" s="990"/>
      <c r="V30" s="139"/>
      <c r="W30" s="139"/>
      <c r="X30" s="139"/>
      <c r="Y30" s="139"/>
      <c r="Z30" s="139"/>
      <c r="AA30" s="139"/>
      <c r="AB30" s="139"/>
      <c r="AC30" s="139"/>
      <c r="AD30" s="139"/>
      <c r="AE30" s="139"/>
      <c r="AF30" s="139"/>
      <c r="AG30" s="139"/>
      <c r="AH30" s="139"/>
      <c r="AI30" s="139"/>
      <c r="AJ30" s="139"/>
      <c r="AK30" s="139"/>
      <c r="AL30" s="139"/>
    </row>
    <row r="31" s="53" customFormat="true" ht="15" hidden="false" customHeight="true" outlineLevel="0" collapsed="false">
      <c r="U31" s="987"/>
    </row>
    <row r="32" s="53" customFormat="true" ht="15" hidden="false" customHeight="true" outlineLevel="0" collapsed="false">
      <c r="A32" s="982" t="s">
        <v>1844</v>
      </c>
      <c r="B32" s="982"/>
      <c r="C32" s="982"/>
      <c r="D32" s="982"/>
      <c r="E32" s="982"/>
      <c r="F32" s="982"/>
      <c r="G32" s="982"/>
      <c r="H32" s="982"/>
      <c r="I32" s="982"/>
      <c r="J32" s="982"/>
      <c r="K32" s="982"/>
      <c r="L32" s="982"/>
      <c r="M32" s="982"/>
      <c r="N32" s="982"/>
      <c r="O32" s="982"/>
      <c r="P32" s="982"/>
      <c r="Q32" s="982"/>
      <c r="R32" s="982"/>
      <c r="S32" s="982"/>
      <c r="T32" s="982"/>
      <c r="U32" s="986"/>
      <c r="V32" s="982"/>
      <c r="W32" s="982"/>
    </row>
    <row r="33" s="53" customFormat="true" ht="15" hidden="false" customHeight="true" outlineLevel="0" collapsed="false">
      <c r="U33" s="987"/>
    </row>
    <row r="34" s="174" customFormat="true" ht="15" hidden="false" customHeight="true" outlineLevel="0" collapsed="false">
      <c r="A34" s="53"/>
      <c r="B34" s="53"/>
      <c r="C34" s="137"/>
      <c r="D34" s="991"/>
      <c r="E34" s="991"/>
      <c r="F34" s="991"/>
      <c r="G34" s="991"/>
      <c r="H34" s="991"/>
      <c r="I34" s="991"/>
      <c r="J34" s="991"/>
      <c r="K34" s="992" t="s">
        <v>100</v>
      </c>
      <c r="L34" s="994" t="s">
        <v>117</v>
      </c>
      <c r="M34" s="334"/>
      <c r="N34" s="187"/>
      <c r="O34" s="139"/>
      <c r="P34" s="139"/>
      <c r="Q34" s="139"/>
      <c r="R34" s="139"/>
      <c r="S34" s="139"/>
      <c r="T34" s="139"/>
      <c r="U34" s="990"/>
      <c r="V34" s="139"/>
      <c r="W34" s="139"/>
      <c r="X34" s="139"/>
      <c r="Y34" s="139" t="s">
        <v>125</v>
      </c>
      <c r="Z34" s="139" t="n">
        <v>1705000</v>
      </c>
      <c r="AA34" s="139"/>
      <c r="AB34" s="139"/>
      <c r="AC34" s="139"/>
      <c r="AD34" s="139"/>
      <c r="AE34" s="139"/>
      <c r="AF34" s="139"/>
      <c r="AG34" s="139"/>
      <c r="AH34" s="139"/>
      <c r="AI34" s="139"/>
      <c r="AJ34" s="139"/>
      <c r="AK34" s="139"/>
      <c r="AL34" s="139"/>
    </row>
    <row r="35" s="53" customFormat="true" ht="15" hidden="false" customHeight="true" outlineLevel="0" collapsed="false">
      <c r="U35" s="987"/>
    </row>
    <row r="36" s="53" customFormat="true" ht="15" hidden="false" customHeight="true" outlineLevel="0" collapsed="false">
      <c r="U36" s="987"/>
    </row>
    <row r="37" s="982" customFormat="true" ht="11.25" hidden="false" customHeight="true" outlineLevel="0" collapsed="false">
      <c r="A37" s="982" t="s">
        <v>1845</v>
      </c>
    </row>
    <row r="38" customFormat="false" ht="11.25" hidden="false" customHeight="true" outlineLevel="0" collapsed="false"/>
    <row r="39" s="290" customFormat="true" ht="22.5" hidden="false" customHeight="true" outlineLevel="0" collapsed="false">
      <c r="A39" s="313"/>
      <c r="B39" s="79"/>
      <c r="C39" s="995"/>
      <c r="D39" s="316"/>
      <c r="E39" s="334"/>
      <c r="F39" s="340"/>
      <c r="G39" s="991"/>
      <c r="H39" s="306"/>
    </row>
    <row r="40" customFormat="false" ht="11.25" hidden="false" customHeight="true" outlineLevel="0" collapsed="false"/>
    <row r="41" s="982" customFormat="true" ht="11.25" hidden="false" customHeight="true" outlineLevel="0" collapsed="false">
      <c r="A41" s="982" t="s">
        <v>1846</v>
      </c>
    </row>
    <row r="42" customFormat="false" ht="11.25" hidden="false" customHeight="true" outlineLevel="0" collapsed="false"/>
    <row r="43" s="290" customFormat="true" ht="22.5" hidden="false" customHeight="true" outlineLevel="0" collapsed="false">
      <c r="A43" s="79"/>
      <c r="B43" s="79"/>
      <c r="C43" s="79"/>
      <c r="D43" s="316"/>
      <c r="E43" s="334"/>
      <c r="F43" s="335"/>
      <c r="G43" s="991"/>
      <c r="H43" s="306"/>
    </row>
    <row r="44" customFormat="false" ht="11.25" hidden="false" customHeight="true" outlineLevel="0" collapsed="false"/>
    <row r="45" s="982" customFormat="true" ht="11.25" hidden="false" customHeight="true" outlineLevel="0" collapsed="false">
      <c r="A45" s="982" t="s">
        <v>1847</v>
      </c>
    </row>
    <row r="46" customFormat="false" ht="11.25" hidden="false" customHeight="true" outlineLevel="0" collapsed="false"/>
    <row r="47" s="290" customFormat="true" ht="24" hidden="false" customHeight="true" outlineLevel="0" collapsed="false">
      <c r="A47" s="313" t="s">
        <v>329</v>
      </c>
      <c r="B47" s="297"/>
      <c r="C47" s="314"/>
      <c r="D47" s="307" t="str">
        <f aca="false">A47</f>
        <v>5.1</v>
      </c>
      <c r="E47" s="310" t="s">
        <v>330</v>
      </c>
      <c r="F47" s="184" t="s">
        <v>322</v>
      </c>
      <c r="G47" s="308" t="s">
        <v>331</v>
      </c>
      <c r="H47" s="306"/>
      <c r="I47" s="315"/>
    </row>
    <row r="48" s="290" customFormat="true" ht="22.5" hidden="false" customHeight="true" outlineLevel="0" collapsed="false">
      <c r="A48" s="313"/>
      <c r="B48" s="297"/>
      <c r="C48" s="314"/>
      <c r="D48" s="316" t="str">
        <f aca="false">D47&amp;".1"</f>
        <v>5.1.1</v>
      </c>
      <c r="E48" s="317" t="s">
        <v>332</v>
      </c>
      <c r="F48" s="311"/>
      <c r="G48" s="309"/>
      <c r="H48" s="306"/>
      <c r="I48" s="315"/>
    </row>
    <row r="49" s="290" customFormat="true" ht="22.5" hidden="false" customHeight="true" outlineLevel="0" collapsed="false">
      <c r="A49" s="313"/>
      <c r="B49" s="297"/>
      <c r="C49" s="314"/>
      <c r="D49" s="316" t="str">
        <f aca="false">D47&amp;".2"</f>
        <v>5.1.2</v>
      </c>
      <c r="E49" s="317" t="s">
        <v>333</v>
      </c>
      <c r="F49" s="77"/>
      <c r="G49" s="308" t="s">
        <v>334</v>
      </c>
      <c r="H49" s="306"/>
      <c r="I49" s="315"/>
    </row>
    <row r="50" s="290" customFormat="true" ht="22.5" hidden="false" customHeight="true" outlineLevel="0" collapsed="false">
      <c r="A50" s="313"/>
      <c r="B50" s="297"/>
      <c r="C50" s="314"/>
      <c r="D50" s="316" t="str">
        <f aca="false">D47&amp;".3"</f>
        <v>5.1.3</v>
      </c>
      <c r="E50" s="317" t="s">
        <v>335</v>
      </c>
      <c r="F50" s="311"/>
      <c r="G50" s="309"/>
      <c r="H50" s="306"/>
      <c r="I50" s="315"/>
    </row>
    <row r="51" s="290" customFormat="true" ht="22.5" hidden="false" customHeight="true" outlineLevel="0" collapsed="false">
      <c r="A51" s="313"/>
      <c r="B51" s="297"/>
      <c r="C51" s="314"/>
      <c r="D51" s="316" t="str">
        <f aca="false">D47&amp;".4"</f>
        <v>5.1.4</v>
      </c>
      <c r="E51" s="317" t="s">
        <v>336</v>
      </c>
      <c r="F51" s="311"/>
      <c r="G51" s="308" t="s">
        <v>337</v>
      </c>
      <c r="H51" s="306"/>
      <c r="I51" s="315"/>
    </row>
    <row r="54" s="982" customFormat="true" ht="17.25" hidden="false" customHeight="true" outlineLevel="0" collapsed="false">
      <c r="A54" s="982" t="s">
        <v>1848</v>
      </c>
    </row>
    <row r="56" s="58" customFormat="true" ht="18.75" hidden="false" customHeight="true" outlineLevel="0" collapsed="false">
      <c r="A56" s="53"/>
      <c r="B56" s="131"/>
      <c r="C56" s="131"/>
      <c r="D56" s="402"/>
      <c r="E56" s="553"/>
      <c r="F56" s="996" t="n">
        <v>13</v>
      </c>
      <c r="G56" s="997"/>
      <c r="H56" s="152"/>
      <c r="I56" s="153"/>
      <c r="J56" s="405" t="s">
        <v>63</v>
      </c>
      <c r="K56" s="998"/>
      <c r="L56" s="53"/>
      <c r="M56" s="47"/>
      <c r="N56" s="47"/>
      <c r="O56" s="47"/>
      <c r="P56" s="46" t="s">
        <v>408</v>
      </c>
      <c r="Q56" s="46" t="s">
        <v>409</v>
      </c>
      <c r="R56" s="401" t="s">
        <v>410</v>
      </c>
      <c r="S56" s="47" t="s">
        <v>411</v>
      </c>
      <c r="T56" s="47"/>
      <c r="U56" s="47"/>
      <c r="V56" s="47"/>
    </row>
    <row r="58" s="982" customFormat="true" ht="11.25" hidden="false" customHeight="true" outlineLevel="0" collapsed="false">
      <c r="A58" s="982" t="s">
        <v>1849</v>
      </c>
    </row>
    <row r="60" s="42" customFormat="true" ht="14.25" hidden="false" customHeight="true" outlineLevel="0" collapsed="false">
      <c r="C60" s="333"/>
      <c r="D60" s="371"/>
      <c r="E60" s="330"/>
      <c r="F60" s="372"/>
      <c r="G60" s="373"/>
      <c r="H60" s="374"/>
      <c r="I60" s="374"/>
      <c r="J60" s="375"/>
      <c r="K60" s="376"/>
      <c r="L60" s="377"/>
      <c r="M60" s="376"/>
      <c r="N60" s="375"/>
      <c r="O60" s="376"/>
      <c r="P60" s="375"/>
      <c r="Q60" s="376"/>
      <c r="R60" s="375"/>
      <c r="S60" s="378"/>
      <c r="T60" s="374"/>
      <c r="U60" s="375"/>
      <c r="V60" s="375"/>
      <c r="W60" s="363"/>
      <c r="X60" s="374"/>
      <c r="Y60" s="375"/>
      <c r="Z60" s="375"/>
      <c r="AA60" s="363"/>
      <c r="AB60" s="374"/>
      <c r="AC60" s="375"/>
      <c r="AD60" s="363"/>
      <c r="AE60" s="53"/>
      <c r="AF60" s="53"/>
      <c r="AG60" s="53"/>
      <c r="AH60" s="53"/>
      <c r="AJ60" s="47"/>
      <c r="AK60" s="47"/>
      <c r="AL60" s="47"/>
      <c r="AM60" s="47"/>
      <c r="AN60" s="47"/>
      <c r="AO60" s="47"/>
      <c r="AP60" s="117" t="s">
        <v>397</v>
      </c>
      <c r="AQ60" s="117" t="s">
        <v>397</v>
      </c>
      <c r="AR60" s="47"/>
      <c r="AS60" s="47"/>
    </row>
    <row r="62" s="982" customFormat="true" ht="11.25" hidden="false" customHeight="true" outlineLevel="0" collapsed="false">
      <c r="A62" s="982" t="s">
        <v>1850</v>
      </c>
    </row>
    <row r="64" s="131" customFormat="true" ht="15" hidden="false" customHeight="true" outlineLevel="0" collapsed="false">
      <c r="A64" s="54" t="s">
        <v>86</v>
      </c>
      <c r="C64" s="281"/>
      <c r="D64" s="197"/>
      <c r="E64" s="337"/>
      <c r="F64" s="337"/>
      <c r="G64" s="441"/>
      <c r="H64" s="998"/>
      <c r="I64" s="999"/>
      <c r="K64" s="967"/>
      <c r="L64" s="155"/>
    </row>
    <row r="66" s="982" customFormat="true" ht="11.25" hidden="false" customHeight="true" outlineLevel="0" collapsed="false">
      <c r="A66" s="982" t="s">
        <v>1851</v>
      </c>
    </row>
    <row r="68" s="42" customFormat="true" ht="14.25" hidden="false" customHeight="true" outlineLevel="0" collapsed="false">
      <c r="A68" s="131"/>
      <c r="B68" s="45"/>
      <c r="C68" s="467"/>
      <c r="D68" s="299"/>
      <c r="E68" s="1000"/>
      <c r="F68" s="998"/>
      <c r="G68" s="53"/>
      <c r="I68" s="117"/>
      <c r="J68" s="117"/>
    </row>
    <row r="70" s="982" customFormat="true" ht="11.25" hidden="false" customHeight="true" outlineLevel="0" collapsed="false">
      <c r="A70" s="982" t="s">
        <v>1852</v>
      </c>
    </row>
    <row r="72" s="42" customFormat="true" ht="27" hidden="false" customHeight="true" outlineLevel="0" collapsed="false">
      <c r="A72" s="657"/>
      <c r="B72" s="657"/>
      <c r="C72" s="657"/>
      <c r="D72" s="45"/>
      <c r="E72" s="1001"/>
      <c r="F72" s="1002"/>
      <c r="G72" s="1003"/>
      <c r="H72" s="1004" t="s">
        <v>63</v>
      </c>
      <c r="I72" s="1005"/>
      <c r="J72" s="1006"/>
      <c r="K72" s="1007"/>
      <c r="L72" s="1008"/>
      <c r="M72" s="1008"/>
      <c r="N72" s="1009"/>
      <c r="O72" s="1009"/>
      <c r="P72" s="1010" t="e">
        <f aca="false">DATEDIF(DATEVALUE(N72),DATEVALUE(O72),"y")&amp;"г. "&amp;DATEDIF(DATEVALUE(N72),DATEVALUE(O72),"ym")&amp;"мес. "&amp;DATEVALUE(O72)-DATE(YEAR(DATEVALUE(O72)),MONTH(DATEVALUE(O72)),1)&amp;"дн. "</f>
        <v>#VALUE!</v>
      </c>
      <c r="Q72" s="1011"/>
      <c r="R72" s="1011"/>
      <c r="S72" s="1011"/>
      <c r="T72" s="1006"/>
      <c r="U72" s="1011"/>
      <c r="V72" s="1011"/>
      <c r="W72" s="1011"/>
      <c r="X72" s="1006"/>
      <c r="Y72" s="1004" t="s">
        <v>63</v>
      </c>
      <c r="Z72" s="267"/>
      <c r="AA72" s="145" t="n">
        <v>1</v>
      </c>
      <c r="AB72" s="1012"/>
      <c r="AD72" s="47" t="s">
        <v>1853</v>
      </c>
    </row>
    <row r="73" s="42" customFormat="true" ht="10.5" hidden="false" customHeight="true" outlineLevel="0" collapsed="false">
      <c r="A73" s="657"/>
      <c r="B73" s="657"/>
      <c r="C73" s="657"/>
      <c r="D73" s="45"/>
      <c r="E73" s="1013"/>
      <c r="F73" s="1002"/>
      <c r="G73" s="1003"/>
      <c r="H73" s="1004"/>
      <c r="I73" s="1005"/>
      <c r="J73" s="1006"/>
      <c r="K73" s="1007"/>
      <c r="L73" s="1008"/>
      <c r="M73" s="1008"/>
      <c r="N73" s="1009"/>
      <c r="O73" s="1009"/>
      <c r="P73" s="1010"/>
      <c r="Q73" s="1011"/>
      <c r="R73" s="1011"/>
      <c r="S73" s="1011"/>
      <c r="T73" s="1006"/>
      <c r="U73" s="1011"/>
      <c r="V73" s="1011"/>
      <c r="W73" s="1011"/>
      <c r="X73" s="1006"/>
      <c r="Y73" s="1004"/>
      <c r="Z73" s="735"/>
      <c r="AA73" s="624"/>
      <c r="AB73" s="206" t="s">
        <v>1854</v>
      </c>
    </row>
    <row r="75" s="982" customFormat="true" ht="11.25" hidden="false" customHeight="true" outlineLevel="0" collapsed="false">
      <c r="A75" s="982" t="s">
        <v>1855</v>
      </c>
    </row>
    <row r="77" s="42" customFormat="true" ht="27" hidden="false" customHeight="true" outlineLevel="0" collapsed="false">
      <c r="A77" s="657"/>
      <c r="B77" s="657"/>
      <c r="C77" s="657"/>
      <c r="D77" s="45"/>
      <c r="E77" s="1001"/>
      <c r="F77" s="1014"/>
      <c r="G77" s="1015"/>
      <c r="H77" s="1016"/>
      <c r="I77" s="1017"/>
      <c r="J77" s="1018"/>
      <c r="K77" s="1019"/>
      <c r="L77" s="1020"/>
      <c r="M77" s="1020"/>
      <c r="N77" s="1021"/>
      <c r="O77" s="1021"/>
      <c r="P77" s="1022"/>
      <c r="Q77" s="1023"/>
      <c r="R77" s="1023"/>
      <c r="S77" s="1023"/>
      <c r="T77" s="1018"/>
      <c r="U77" s="1023"/>
      <c r="V77" s="1023"/>
      <c r="W77" s="1023"/>
      <c r="X77" s="1018"/>
      <c r="Y77" s="1016"/>
      <c r="Z77" s="267"/>
      <c r="AA77" s="145" t="n">
        <v>1</v>
      </c>
      <c r="AB77" s="1012"/>
      <c r="AD77" s="47" t="s">
        <v>1853</v>
      </c>
    </row>
    <row r="79" s="982" customFormat="true" ht="11.25" hidden="false" customHeight="true" outlineLevel="0" collapsed="false">
      <c r="A79" s="982" t="s">
        <v>1856</v>
      </c>
    </row>
    <row r="80" customFormat="false" ht="17.25" hidden="false" customHeight="true" outlineLevel="0" collapsed="false"/>
    <row r="81" s="42" customFormat="true" ht="21" hidden="false" customHeight="true" outlineLevel="0" collapsed="false">
      <c r="A81" s="459"/>
      <c r="B81" s="657"/>
      <c r="C81" s="657"/>
      <c r="D81" s="45"/>
      <c r="E81" s="79"/>
      <c r="F81" s="1024" t="e">
        <f aca="false">INDEX(IP_MAIN_LIST_NAME_IP,MATCH(A81,IP_MAIN_LIST_IP_ID,0))&amp;" ("&amp;INDEX(IP_MAIN_START_DATE,MATCH(A81,IP_MAIN_LIST_IP_ID,0))&amp;"-"&amp;INDEX(IP_MAIN_END_DATE,MATCH(A81,IP_MAIN_LIST_IP_ID,0))&amp;")"</f>
        <v>#N/A</v>
      </c>
      <c r="G81" s="1025"/>
      <c r="H81" s="1025"/>
      <c r="I81" s="1026"/>
      <c r="J81" s="1026"/>
      <c r="K81" s="1027"/>
      <c r="L81" s="1027"/>
      <c r="M81" s="1027"/>
      <c r="N81" s="1028"/>
      <c r="O81" s="1028"/>
      <c r="P81" s="1028"/>
      <c r="Q81" s="1028"/>
      <c r="R81" s="1028"/>
      <c r="S81" s="1028"/>
      <c r="T81" s="1028"/>
      <c r="U81" s="1028"/>
      <c r="V81" s="1028"/>
      <c r="W81" s="1028"/>
      <c r="X81" s="1028"/>
      <c r="Y81" s="1028"/>
      <c r="Z81" s="1028"/>
      <c r="AA81" s="1028"/>
      <c r="AB81" s="1028"/>
      <c r="AC81" s="1028"/>
      <c r="AD81" s="1028"/>
      <c r="AE81" s="1029"/>
      <c r="AF81" s="1027"/>
      <c r="AG81" s="1027"/>
      <c r="AH81" s="1027"/>
      <c r="AI81" s="1027"/>
      <c r="AJ81" s="1027"/>
      <c r="AK81" s="1027"/>
      <c r="AL81" s="749"/>
      <c r="AM81" s="131"/>
      <c r="AN81" s="131"/>
      <c r="AO81" s="131"/>
      <c r="AP81" s="131"/>
      <c r="AQ81" s="131"/>
      <c r="AR81" s="131"/>
      <c r="AS81" s="131"/>
      <c r="AT81" s="131"/>
      <c r="AU81" s="131"/>
      <c r="AV81" s="131"/>
      <c r="AW81" s="131"/>
      <c r="AX81" s="131"/>
      <c r="AY81" s="131"/>
      <c r="AZ81" s="131"/>
      <c r="BA81" s="131"/>
      <c r="BB81" s="131"/>
      <c r="BC81" s="131"/>
      <c r="BD81" s="131"/>
      <c r="BE81" s="131"/>
      <c r="BF81" s="131"/>
    </row>
    <row r="82" s="42" customFormat="true" ht="11.25" hidden="false" customHeight="true" outlineLevel="0" collapsed="false">
      <c r="A82" s="657"/>
      <c r="B82" s="657"/>
      <c r="C82" s="657"/>
      <c r="D82" s="45"/>
      <c r="E82" s="79"/>
      <c r="F82" s="1030"/>
      <c r="G82" s="994"/>
      <c r="H82" s="994" t="s">
        <v>117</v>
      </c>
      <c r="I82" s="1031"/>
      <c r="J82" s="338"/>
      <c r="K82" s="337"/>
      <c r="L82" s="1032" t="s">
        <v>53</v>
      </c>
      <c r="M82" s="197"/>
      <c r="N82" s="1033"/>
      <c r="O82" s="1034" t="s">
        <v>392</v>
      </c>
      <c r="P82" s="1033"/>
      <c r="Q82" s="1033"/>
      <c r="R82" s="1033"/>
      <c r="S82" s="1033"/>
      <c r="T82" s="1033"/>
      <c r="U82" s="1033"/>
      <c r="V82" s="1033"/>
      <c r="W82" s="1033"/>
      <c r="X82" s="1033"/>
      <c r="Y82" s="1033"/>
      <c r="Z82" s="1033"/>
      <c r="AA82" s="1033"/>
      <c r="AB82" s="1033"/>
      <c r="AC82" s="1033"/>
      <c r="AD82" s="1033"/>
      <c r="AE82" s="1033"/>
      <c r="AF82" s="1035"/>
      <c r="AG82" s="1032"/>
      <c r="AH82" s="1032"/>
      <c r="AI82" s="1035"/>
      <c r="AJ82" s="1032"/>
      <c r="AK82" s="1032"/>
      <c r="AM82" s="131"/>
      <c r="AN82" s="131"/>
      <c r="AO82" s="131"/>
      <c r="AP82" s="131"/>
      <c r="AQ82" s="131"/>
      <c r="AR82" s="131"/>
      <c r="AS82" s="131"/>
      <c r="AT82" s="131"/>
      <c r="AU82" s="131"/>
      <c r="AV82" s="131"/>
      <c r="AW82" s="131"/>
      <c r="AX82" s="131"/>
      <c r="AY82" s="131"/>
      <c r="AZ82" s="131"/>
      <c r="BA82" s="131"/>
      <c r="BB82" s="131"/>
      <c r="BC82" s="131"/>
      <c r="BD82" s="131"/>
      <c r="BE82" s="131"/>
      <c r="BF82" s="131"/>
    </row>
    <row r="83" s="42" customFormat="true" ht="11.25" hidden="false" customHeight="true" outlineLevel="0" collapsed="false">
      <c r="A83" s="657"/>
      <c r="B83" s="657"/>
      <c r="C83" s="657"/>
      <c r="D83" s="45"/>
      <c r="E83" s="79"/>
      <c r="F83" s="1030"/>
      <c r="G83" s="994"/>
      <c r="H83" s="994"/>
      <c r="I83" s="1031"/>
      <c r="J83" s="338"/>
      <c r="K83" s="337"/>
      <c r="L83" s="1032"/>
      <c r="M83" s="197"/>
      <c r="N83" s="1036"/>
      <c r="O83" s="1037" t="n">
        <v>1</v>
      </c>
      <c r="P83" s="100" t="s">
        <v>53</v>
      </c>
      <c r="Q83" s="396"/>
      <c r="R83" s="396"/>
      <c r="S83" s="396"/>
      <c r="T83" s="396"/>
      <c r="U83" s="396"/>
      <c r="V83" s="396"/>
      <c r="W83" s="396"/>
      <c r="X83" s="396"/>
      <c r="Y83" s="396"/>
      <c r="Z83" s="1038"/>
      <c r="AA83" s="1039"/>
      <c r="AB83" s="1039"/>
      <c r="AC83" s="1040"/>
      <c r="AD83" s="1040"/>
      <c r="AE83" s="1041"/>
      <c r="AF83" s="1035"/>
      <c r="AG83" s="1032"/>
      <c r="AH83" s="1032"/>
      <c r="AI83" s="1035"/>
      <c r="AJ83" s="1032"/>
      <c r="AK83" s="1032"/>
      <c r="AM83" s="131"/>
      <c r="AN83" s="131"/>
      <c r="AO83" s="131"/>
      <c r="AP83" s="131"/>
      <c r="AQ83" s="131"/>
      <c r="AR83" s="131"/>
      <c r="AS83" s="131"/>
      <c r="AT83" s="131"/>
      <c r="AU83" s="131"/>
      <c r="AV83" s="131"/>
      <c r="AW83" s="131"/>
      <c r="AX83" s="131"/>
      <c r="AY83" s="131"/>
      <c r="AZ83" s="131"/>
      <c r="BA83" s="131"/>
      <c r="BB83" s="131"/>
      <c r="BC83" s="131"/>
      <c r="BD83" s="131"/>
      <c r="BE83" s="131"/>
      <c r="BF83" s="131"/>
    </row>
    <row r="84" s="42" customFormat="true" ht="11.25" hidden="false" customHeight="true" outlineLevel="0" collapsed="false">
      <c r="A84" s="657"/>
      <c r="B84" s="657"/>
      <c r="C84" s="657"/>
      <c r="D84" s="45"/>
      <c r="E84" s="79"/>
      <c r="F84" s="1030"/>
      <c r="G84" s="994"/>
      <c r="H84" s="994"/>
      <c r="I84" s="1031"/>
      <c r="J84" s="338"/>
      <c r="K84" s="337"/>
      <c r="L84" s="1032"/>
      <c r="M84" s="197"/>
      <c r="N84" s="1036"/>
      <c r="O84" s="1037"/>
      <c r="P84" s="100"/>
      <c r="Q84" s="396"/>
      <c r="R84" s="396"/>
      <c r="S84" s="396"/>
      <c r="T84" s="396"/>
      <c r="U84" s="396"/>
      <c r="V84" s="396"/>
      <c r="W84" s="396"/>
      <c r="X84" s="396"/>
      <c r="Y84" s="396"/>
      <c r="Z84" s="1042"/>
      <c r="AA84" s="1037" t="n">
        <v>1</v>
      </c>
      <c r="AB84" s="1043"/>
      <c r="AC84" s="709"/>
      <c r="AD84" s="1043" t="n">
        <f aca="false">AB84</f>
        <v>0</v>
      </c>
      <c r="AE84" s="709"/>
      <c r="AF84" s="1035"/>
      <c r="AG84" s="1032"/>
      <c r="AH84" s="1032"/>
      <c r="AI84" s="1035"/>
      <c r="AJ84" s="1032"/>
      <c r="AK84" s="1032"/>
      <c r="AM84" s="131"/>
      <c r="AN84" s="131"/>
      <c r="AO84" s="131"/>
      <c r="AP84" s="131"/>
      <c r="AQ84" s="131"/>
      <c r="AR84" s="131"/>
      <c r="AS84" s="131"/>
      <c r="AT84" s="131"/>
      <c r="AU84" s="131"/>
      <c r="AV84" s="131"/>
      <c r="AW84" s="131"/>
      <c r="AX84" s="131"/>
      <c r="AY84" s="131"/>
      <c r="AZ84" s="131"/>
      <c r="BA84" s="131"/>
      <c r="BB84" s="131"/>
      <c r="BC84" s="131"/>
      <c r="BD84" s="131"/>
      <c r="BE84" s="131"/>
      <c r="BF84" s="131"/>
    </row>
    <row r="85" s="42" customFormat="true" ht="11.25" hidden="false" customHeight="true" outlineLevel="0" collapsed="false">
      <c r="A85" s="657"/>
      <c r="B85" s="657"/>
      <c r="C85" s="657"/>
      <c r="D85" s="45"/>
      <c r="E85" s="79"/>
      <c r="F85" s="1030"/>
      <c r="G85" s="994"/>
      <c r="H85" s="994"/>
      <c r="I85" s="1031"/>
      <c r="J85" s="338"/>
      <c r="K85" s="337"/>
      <c r="L85" s="1032"/>
      <c r="M85" s="197"/>
      <c r="N85" s="1036"/>
      <c r="O85" s="1037"/>
      <c r="P85" s="100"/>
      <c r="Q85" s="396"/>
      <c r="R85" s="396"/>
      <c r="S85" s="396"/>
      <c r="T85" s="396"/>
      <c r="U85" s="396"/>
      <c r="V85" s="396"/>
      <c r="W85" s="396"/>
      <c r="X85" s="396"/>
      <c r="Y85" s="396"/>
      <c r="Z85" s="1038"/>
      <c r="AA85" s="1039"/>
      <c r="AB85" s="160" t="s">
        <v>1857</v>
      </c>
      <c r="AC85" s="1040"/>
      <c r="AD85" s="1040"/>
      <c r="AE85" s="1044"/>
      <c r="AF85" s="1035"/>
      <c r="AG85" s="1032"/>
      <c r="AH85" s="1032"/>
      <c r="AI85" s="1035"/>
      <c r="AJ85" s="1032"/>
      <c r="AK85" s="1032"/>
      <c r="AM85" s="131"/>
      <c r="AN85" s="131"/>
      <c r="AO85" s="131"/>
      <c r="AP85" s="131"/>
      <c r="AQ85" s="131"/>
      <c r="AR85" s="131"/>
      <c r="AS85" s="131"/>
      <c r="AT85" s="131"/>
      <c r="AU85" s="131"/>
      <c r="AV85" s="131"/>
      <c r="AW85" s="131"/>
      <c r="AX85" s="131"/>
      <c r="AY85" s="131"/>
      <c r="AZ85" s="131"/>
      <c r="BA85" s="131"/>
      <c r="BB85" s="131"/>
      <c r="BC85" s="131"/>
      <c r="BD85" s="131"/>
      <c r="BE85" s="131"/>
      <c r="BF85" s="131"/>
    </row>
    <row r="86" s="42" customFormat="true" ht="11.25" hidden="false" customHeight="true" outlineLevel="0" collapsed="false">
      <c r="A86" s="657"/>
      <c r="B86" s="657"/>
      <c r="C86" s="657"/>
      <c r="D86" s="45"/>
      <c r="E86" s="79"/>
      <c r="F86" s="1030"/>
      <c r="G86" s="994"/>
      <c r="H86" s="994"/>
      <c r="I86" s="1031"/>
      <c r="J86" s="338"/>
      <c r="K86" s="337"/>
      <c r="L86" s="1032"/>
      <c r="M86" s="197"/>
      <c r="N86" s="1039"/>
      <c r="O86" s="1039"/>
      <c r="P86" s="160" t="s">
        <v>1858</v>
      </c>
      <c r="Q86" s="1039"/>
      <c r="R86" s="1039"/>
      <c r="S86" s="1039"/>
      <c r="T86" s="1039"/>
      <c r="U86" s="1039"/>
      <c r="V86" s="1039"/>
      <c r="W86" s="1039"/>
      <c r="X86" s="1039"/>
      <c r="Y86" s="1039"/>
      <c r="Z86" s="1039"/>
      <c r="AA86" s="1039"/>
      <c r="AB86" s="1039"/>
      <c r="AC86" s="1039"/>
      <c r="AD86" s="1039"/>
      <c r="AE86" s="1045"/>
      <c r="AF86" s="1035"/>
      <c r="AG86" s="1032"/>
      <c r="AH86" s="1032"/>
      <c r="AI86" s="1035"/>
      <c r="AJ86" s="1032"/>
      <c r="AK86" s="1032"/>
      <c r="AM86" s="131"/>
      <c r="AN86" s="131"/>
      <c r="AO86" s="131"/>
      <c r="AP86" s="131"/>
      <c r="AQ86" s="131"/>
      <c r="AR86" s="131"/>
      <c r="AS86" s="131"/>
      <c r="AT86" s="131"/>
      <c r="AU86" s="131"/>
      <c r="AV86" s="131"/>
      <c r="AW86" s="131"/>
      <c r="AX86" s="131"/>
      <c r="AY86" s="131"/>
      <c r="AZ86" s="131"/>
      <c r="BA86" s="131"/>
      <c r="BB86" s="131"/>
      <c r="BC86" s="131"/>
      <c r="BD86" s="131"/>
      <c r="BE86" s="131"/>
      <c r="BF86" s="131"/>
    </row>
    <row r="87" s="42" customFormat="true" ht="12" hidden="false" customHeight="true" outlineLevel="0" collapsed="false">
      <c r="A87" s="657"/>
      <c r="B87" s="657"/>
      <c r="C87" s="657"/>
      <c r="D87" s="45"/>
      <c r="E87" s="79"/>
      <c r="F87" s="1030"/>
      <c r="G87" s="1046"/>
      <c r="H87" s="1046"/>
      <c r="I87" s="1047" t="s">
        <v>1859</v>
      </c>
      <c r="J87" s="1047"/>
      <c r="K87" s="1047"/>
      <c r="L87" s="1048"/>
      <c r="M87" s="1048"/>
      <c r="N87" s="1049"/>
      <c r="O87" s="1049"/>
      <c r="P87" s="1049"/>
      <c r="Q87" s="1049"/>
      <c r="R87" s="1049"/>
      <c r="S87" s="1049"/>
      <c r="T87" s="1049"/>
      <c r="U87" s="1049"/>
      <c r="V87" s="1049"/>
      <c r="W87" s="1049"/>
      <c r="X87" s="1049"/>
      <c r="Y87" s="1049"/>
      <c r="Z87" s="1049"/>
      <c r="AA87" s="1049"/>
      <c r="AB87" s="1049"/>
      <c r="AC87" s="1049"/>
      <c r="AD87" s="1049"/>
      <c r="AE87" s="1049"/>
      <c r="AF87" s="1049"/>
      <c r="AG87" s="1048"/>
      <c r="AH87" s="1048"/>
      <c r="AI87" s="1049"/>
      <c r="AJ87" s="1048"/>
      <c r="AK87" s="1050"/>
      <c r="AM87" s="131"/>
      <c r="AN87" s="131"/>
      <c r="AO87" s="131"/>
      <c r="AP87" s="131"/>
      <c r="AQ87" s="131"/>
      <c r="AR87" s="131"/>
      <c r="AS87" s="131"/>
      <c r="AT87" s="131"/>
      <c r="AU87" s="131"/>
      <c r="AV87" s="131"/>
      <c r="AW87" s="131"/>
      <c r="AX87" s="131"/>
      <c r="AY87" s="131"/>
      <c r="AZ87" s="131"/>
      <c r="BA87" s="131"/>
      <c r="BB87" s="131"/>
      <c r="BC87" s="131"/>
      <c r="BD87" s="131"/>
      <c r="BE87" s="131"/>
      <c r="BF87" s="131"/>
    </row>
    <row r="89" s="982" customFormat="true" ht="11.25" hidden="false" customHeight="true" outlineLevel="0" collapsed="false">
      <c r="A89" s="982" t="s">
        <v>1860</v>
      </c>
    </row>
    <row r="91" s="42" customFormat="true" ht="11.25" hidden="false" customHeight="true" outlineLevel="0" collapsed="false">
      <c r="A91" s="657"/>
      <c r="B91" s="657"/>
      <c r="C91" s="657"/>
      <c r="D91" s="45"/>
      <c r="E91" s="79"/>
      <c r="F91" s="1051"/>
      <c r="G91" s="1052"/>
      <c r="H91" s="1052"/>
      <c r="I91" s="1053"/>
      <c r="J91" s="1053"/>
      <c r="K91" s="1054"/>
      <c r="L91" s="1053"/>
      <c r="M91" s="1052"/>
      <c r="N91" s="1055"/>
      <c r="O91" s="1037" t="n">
        <v>1</v>
      </c>
      <c r="P91" s="100" t="s">
        <v>53</v>
      </c>
      <c r="Q91" s="396"/>
      <c r="R91" s="396"/>
      <c r="S91" s="396"/>
      <c r="T91" s="396"/>
      <c r="U91" s="396"/>
      <c r="V91" s="396"/>
      <c r="W91" s="396"/>
      <c r="X91" s="396"/>
      <c r="Y91" s="396"/>
      <c r="Z91" s="1038"/>
      <c r="AA91" s="1039"/>
      <c r="AB91" s="1039"/>
      <c r="AC91" s="1040"/>
      <c r="AD91" s="1040"/>
      <c r="AE91" s="1040"/>
      <c r="AF91" s="1056"/>
      <c r="AG91" s="1057"/>
      <c r="AH91" s="1057"/>
      <c r="AI91" s="1056"/>
      <c r="AJ91" s="1057"/>
      <c r="AK91" s="1057"/>
      <c r="AM91" s="131"/>
      <c r="AN91" s="131"/>
      <c r="AO91" s="131"/>
      <c r="AP91" s="131"/>
      <c r="AQ91" s="131"/>
      <c r="AR91" s="131"/>
      <c r="AS91" s="131"/>
      <c r="AT91" s="131"/>
      <c r="AU91" s="131"/>
      <c r="AV91" s="131"/>
      <c r="AW91" s="131"/>
      <c r="AX91" s="131"/>
      <c r="AY91" s="131"/>
      <c r="AZ91" s="131"/>
      <c r="BA91" s="131"/>
      <c r="BB91" s="131"/>
      <c r="BC91" s="131"/>
      <c r="BD91" s="131"/>
      <c r="BE91" s="131"/>
      <c r="BF91" s="131"/>
    </row>
    <row r="92" s="42" customFormat="true" ht="11.25" hidden="false" customHeight="true" outlineLevel="0" collapsed="false">
      <c r="A92" s="657"/>
      <c r="B92" s="657"/>
      <c r="C92" s="657"/>
      <c r="D92" s="45"/>
      <c r="E92" s="79"/>
      <c r="F92" s="1051"/>
      <c r="G92" s="1052"/>
      <c r="H92" s="1052"/>
      <c r="I92" s="1058"/>
      <c r="J92" s="1058"/>
      <c r="K92" s="1054"/>
      <c r="L92" s="1058"/>
      <c r="M92" s="1052"/>
      <c r="N92" s="1055"/>
      <c r="O92" s="1037"/>
      <c r="P92" s="100"/>
      <c r="Q92" s="396"/>
      <c r="R92" s="396"/>
      <c r="S92" s="396"/>
      <c r="T92" s="396"/>
      <c r="U92" s="396"/>
      <c r="V92" s="396"/>
      <c r="W92" s="396"/>
      <c r="X92" s="396"/>
      <c r="Y92" s="396"/>
      <c r="Z92" s="1042"/>
      <c r="AA92" s="1037" t="n">
        <v>1</v>
      </c>
      <c r="AB92" s="1043"/>
      <c r="AC92" s="709"/>
      <c r="AD92" s="1043" t="n">
        <f aca="false">AB92</f>
        <v>0</v>
      </c>
      <c r="AE92" s="726"/>
      <c r="AF92" s="1054"/>
      <c r="AG92" s="1057"/>
      <c r="AH92" s="1057"/>
      <c r="AI92" s="1054"/>
      <c r="AJ92" s="1057"/>
      <c r="AK92" s="1057"/>
      <c r="AM92" s="131"/>
      <c r="AN92" s="131"/>
      <c r="AO92" s="131"/>
      <c r="AP92" s="131"/>
      <c r="AQ92" s="131"/>
      <c r="AR92" s="131"/>
      <c r="AS92" s="131"/>
      <c r="AT92" s="131"/>
      <c r="AU92" s="131"/>
      <c r="AV92" s="131"/>
      <c r="AW92" s="131"/>
      <c r="AX92" s="131"/>
      <c r="AY92" s="131"/>
      <c r="AZ92" s="131"/>
      <c r="BA92" s="131"/>
      <c r="BB92" s="131"/>
      <c r="BC92" s="131"/>
      <c r="BD92" s="131"/>
      <c r="BE92" s="131"/>
      <c r="BF92" s="131"/>
    </row>
    <row r="93" s="42" customFormat="true" ht="11.25" hidden="false" customHeight="true" outlineLevel="0" collapsed="false">
      <c r="A93" s="657"/>
      <c r="B93" s="657"/>
      <c r="C93" s="657"/>
      <c r="D93" s="45"/>
      <c r="E93" s="79"/>
      <c r="F93" s="1051"/>
      <c r="G93" s="1052"/>
      <c r="H93" s="1052"/>
      <c r="I93" s="1059"/>
      <c r="J93" s="1059"/>
      <c r="K93" s="1054"/>
      <c r="L93" s="1059"/>
      <c r="M93" s="1052"/>
      <c r="N93" s="1055"/>
      <c r="O93" s="1037"/>
      <c r="P93" s="100"/>
      <c r="Q93" s="396"/>
      <c r="R93" s="396"/>
      <c r="S93" s="396"/>
      <c r="T93" s="396"/>
      <c r="U93" s="396"/>
      <c r="V93" s="396"/>
      <c r="W93" s="396"/>
      <c r="X93" s="396"/>
      <c r="Y93" s="396"/>
      <c r="Z93" s="1038"/>
      <c r="AA93" s="1039"/>
      <c r="AB93" s="160" t="s">
        <v>1857</v>
      </c>
      <c r="AC93" s="1040"/>
      <c r="AD93" s="1040"/>
      <c r="AE93" s="1040"/>
      <c r="AF93" s="1060"/>
      <c r="AG93" s="1057"/>
      <c r="AH93" s="1057"/>
      <c r="AI93" s="1060"/>
      <c r="AJ93" s="1057"/>
      <c r="AK93" s="1057"/>
      <c r="AM93" s="131"/>
      <c r="AN93" s="131"/>
      <c r="AO93" s="131"/>
      <c r="AP93" s="131"/>
      <c r="AQ93" s="131"/>
      <c r="AR93" s="131"/>
      <c r="AS93" s="131"/>
      <c r="AT93" s="131"/>
      <c r="AU93" s="131"/>
      <c r="AV93" s="131"/>
      <c r="AW93" s="131"/>
      <c r="AX93" s="131"/>
      <c r="AY93" s="131"/>
      <c r="AZ93" s="131"/>
      <c r="BA93" s="131"/>
      <c r="BB93" s="131"/>
      <c r="BC93" s="131"/>
      <c r="BD93" s="131"/>
      <c r="BE93" s="131"/>
      <c r="BF93" s="131"/>
    </row>
    <row r="95" s="982" customFormat="true" ht="11.25" hidden="false" customHeight="true" outlineLevel="0" collapsed="false">
      <c r="A95" s="982" t="s">
        <v>1861</v>
      </c>
    </row>
    <row r="97" s="42" customFormat="true" ht="11.25" hidden="false" customHeight="true" outlineLevel="0" collapsed="false">
      <c r="A97" s="657"/>
      <c r="B97" s="657"/>
      <c r="C97" s="657"/>
      <c r="D97" s="45"/>
      <c r="E97" s="79"/>
      <c r="F97" s="1052"/>
      <c r="G97" s="1052"/>
      <c r="H97" s="1052"/>
      <c r="I97" s="1052"/>
      <c r="J97" s="1052"/>
      <c r="K97" s="1052"/>
      <c r="L97" s="1052"/>
      <c r="M97" s="1052"/>
      <c r="N97" s="1052"/>
      <c r="O97" s="1052"/>
      <c r="P97" s="1052"/>
      <c r="Q97" s="1052"/>
      <c r="R97" s="1052"/>
      <c r="S97" s="1052"/>
      <c r="T97" s="1052"/>
      <c r="U97" s="1052"/>
      <c r="V97" s="1052"/>
      <c r="W97" s="1052"/>
      <c r="X97" s="1052"/>
      <c r="Y97" s="1052"/>
      <c r="Z97" s="1061"/>
      <c r="AA97" s="1062" t="n">
        <v>1</v>
      </c>
      <c r="AB97" s="1043"/>
      <c r="AC97" s="709"/>
      <c r="AD97" s="1043" t="n">
        <f aca="false">AB97</f>
        <v>0</v>
      </c>
      <c r="AE97" s="709"/>
      <c r="AF97" s="1054"/>
      <c r="AG97" s="1057"/>
      <c r="AH97" s="1057"/>
      <c r="AI97" s="1054"/>
      <c r="AJ97" s="1057"/>
      <c r="AK97" s="1057"/>
      <c r="AM97" s="131"/>
      <c r="AN97" s="131"/>
      <c r="AO97" s="131"/>
      <c r="AP97" s="131"/>
      <c r="AQ97" s="131"/>
      <c r="AR97" s="131"/>
      <c r="AS97" s="131"/>
      <c r="AT97" s="131"/>
      <c r="AU97" s="131"/>
      <c r="AV97" s="131"/>
      <c r="AW97" s="131"/>
      <c r="AX97" s="131"/>
      <c r="AY97" s="131"/>
      <c r="AZ97" s="131"/>
      <c r="BA97" s="131"/>
      <c r="BB97" s="131"/>
      <c r="BC97" s="131"/>
      <c r="BD97" s="131"/>
      <c r="BE97" s="131"/>
      <c r="BF97" s="131"/>
    </row>
    <row r="99" s="982" customFormat="true" ht="11.25" hidden="false" customHeight="true" outlineLevel="0" collapsed="false">
      <c r="A99" s="982" t="s">
        <v>1862</v>
      </c>
    </row>
    <row r="101" s="42" customFormat="true" ht="11.25" hidden="false" customHeight="true" outlineLevel="0" collapsed="false">
      <c r="A101" s="657"/>
      <c r="B101" s="657"/>
      <c r="C101" s="657"/>
      <c r="D101" s="45"/>
      <c r="E101" s="79"/>
      <c r="F101" s="1051"/>
      <c r="G101" s="1052"/>
      <c r="H101" s="994" t="s">
        <v>117</v>
      </c>
      <c r="I101" s="1031"/>
      <c r="J101" s="338"/>
      <c r="K101" s="337"/>
      <c r="L101" s="1032" t="s">
        <v>53</v>
      </c>
      <c r="M101" s="197"/>
      <c r="N101" s="1033"/>
      <c r="O101" s="1034" t="s">
        <v>392</v>
      </c>
      <c r="P101" s="1033"/>
      <c r="Q101" s="1033"/>
      <c r="R101" s="1033"/>
      <c r="S101" s="1033"/>
      <c r="T101" s="1033"/>
      <c r="U101" s="1033"/>
      <c r="V101" s="1033"/>
      <c r="W101" s="1033"/>
      <c r="X101" s="1033"/>
      <c r="Y101" s="1033"/>
      <c r="Z101" s="1033"/>
      <c r="AA101" s="1033"/>
      <c r="AB101" s="1033"/>
      <c r="AC101" s="1033"/>
      <c r="AD101" s="1033"/>
      <c r="AE101" s="1033"/>
      <c r="AF101" s="1035"/>
      <c r="AG101" s="1032"/>
      <c r="AH101" s="1032"/>
      <c r="AI101" s="1035"/>
      <c r="AJ101" s="1032"/>
      <c r="AK101" s="1032"/>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row>
    <row r="102" s="42" customFormat="true" ht="11.25" hidden="false" customHeight="true" outlineLevel="0" collapsed="false">
      <c r="A102" s="657"/>
      <c r="B102" s="657"/>
      <c r="C102" s="657"/>
      <c r="D102" s="45"/>
      <c r="E102" s="79"/>
      <c r="F102" s="1051"/>
      <c r="G102" s="1052"/>
      <c r="H102" s="994"/>
      <c r="I102" s="1031"/>
      <c r="J102" s="338"/>
      <c r="K102" s="337"/>
      <c r="L102" s="1032"/>
      <c r="M102" s="197"/>
      <c r="N102" s="1036"/>
      <c r="O102" s="1037" t="n">
        <v>1</v>
      </c>
      <c r="P102" s="100" t="s">
        <v>53</v>
      </c>
      <c r="Q102" s="396"/>
      <c r="R102" s="396"/>
      <c r="S102" s="396"/>
      <c r="T102" s="396"/>
      <c r="U102" s="396"/>
      <c r="V102" s="396"/>
      <c r="W102" s="396"/>
      <c r="X102" s="396"/>
      <c r="Y102" s="396"/>
      <c r="Z102" s="1038"/>
      <c r="AA102" s="1039"/>
      <c r="AB102" s="1039"/>
      <c r="AC102" s="1040"/>
      <c r="AD102" s="1040"/>
      <c r="AE102" s="1041"/>
      <c r="AF102" s="1035"/>
      <c r="AG102" s="1032"/>
      <c r="AH102" s="1032"/>
      <c r="AI102" s="1035"/>
      <c r="AJ102" s="1032"/>
      <c r="AK102" s="1032"/>
      <c r="AM102" s="131"/>
      <c r="AN102" s="131"/>
      <c r="AO102" s="131"/>
      <c r="AP102" s="131"/>
      <c r="AQ102" s="131"/>
      <c r="AR102" s="131"/>
      <c r="AS102" s="131"/>
      <c r="AT102" s="131"/>
      <c r="AU102" s="131"/>
      <c r="AV102" s="131"/>
      <c r="AW102" s="131"/>
      <c r="AX102" s="131"/>
      <c r="AY102" s="131"/>
      <c r="AZ102" s="131"/>
      <c r="BA102" s="131"/>
      <c r="BB102" s="131"/>
      <c r="BC102" s="131"/>
      <c r="BD102" s="131"/>
      <c r="BE102" s="131"/>
      <c r="BF102" s="131"/>
    </row>
    <row r="103" s="42" customFormat="true" ht="11.25" hidden="false" customHeight="true" outlineLevel="0" collapsed="false">
      <c r="A103" s="657"/>
      <c r="B103" s="657"/>
      <c r="C103" s="657"/>
      <c r="D103" s="45"/>
      <c r="E103" s="79"/>
      <c r="F103" s="1051"/>
      <c r="G103" s="1052"/>
      <c r="H103" s="994"/>
      <c r="I103" s="1031"/>
      <c r="J103" s="338"/>
      <c r="K103" s="337"/>
      <c r="L103" s="1032"/>
      <c r="M103" s="197"/>
      <c r="N103" s="1036"/>
      <c r="O103" s="1037"/>
      <c r="P103" s="100"/>
      <c r="Q103" s="396"/>
      <c r="R103" s="396"/>
      <c r="S103" s="396"/>
      <c r="T103" s="396"/>
      <c r="U103" s="396"/>
      <c r="V103" s="396"/>
      <c r="W103" s="396"/>
      <c r="X103" s="396"/>
      <c r="Y103" s="396"/>
      <c r="Z103" s="1042"/>
      <c r="AA103" s="1037" t="n">
        <v>1</v>
      </c>
      <c r="AB103" s="1043"/>
      <c r="AC103" s="709"/>
      <c r="AD103" s="1043" t="n">
        <f aca="false">AB103</f>
        <v>0</v>
      </c>
      <c r="AE103" s="709"/>
      <c r="AF103" s="1035"/>
      <c r="AG103" s="1032"/>
      <c r="AH103" s="1032"/>
      <c r="AI103" s="1035"/>
      <c r="AJ103" s="1032"/>
      <c r="AK103" s="1032"/>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row>
    <row r="104" s="42" customFormat="true" ht="11.25" hidden="false" customHeight="true" outlineLevel="0" collapsed="false">
      <c r="A104" s="657"/>
      <c r="B104" s="657"/>
      <c r="C104" s="657"/>
      <c r="D104" s="45"/>
      <c r="E104" s="79"/>
      <c r="F104" s="1051"/>
      <c r="G104" s="1052"/>
      <c r="H104" s="994"/>
      <c r="I104" s="1031"/>
      <c r="J104" s="338"/>
      <c r="K104" s="337"/>
      <c r="L104" s="1032"/>
      <c r="M104" s="197"/>
      <c r="N104" s="1036"/>
      <c r="O104" s="1037"/>
      <c r="P104" s="100"/>
      <c r="Q104" s="396"/>
      <c r="R104" s="396"/>
      <c r="S104" s="396"/>
      <c r="T104" s="396"/>
      <c r="U104" s="396"/>
      <c r="V104" s="396"/>
      <c r="W104" s="396"/>
      <c r="X104" s="396"/>
      <c r="Y104" s="396"/>
      <c r="Z104" s="1038"/>
      <c r="AA104" s="1039"/>
      <c r="AB104" s="160" t="s">
        <v>1857</v>
      </c>
      <c r="AC104" s="1040"/>
      <c r="AD104" s="1040"/>
      <c r="AE104" s="1044"/>
      <c r="AF104" s="1035"/>
      <c r="AG104" s="1032"/>
      <c r="AH104" s="1032"/>
      <c r="AI104" s="1035"/>
      <c r="AJ104" s="1032"/>
      <c r="AK104" s="1032"/>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row>
    <row r="105" s="42" customFormat="true" ht="11.25" hidden="false" customHeight="true" outlineLevel="0" collapsed="false">
      <c r="A105" s="657"/>
      <c r="B105" s="657"/>
      <c r="C105" s="657"/>
      <c r="D105" s="45"/>
      <c r="E105" s="79"/>
      <c r="F105" s="1051"/>
      <c r="G105" s="1052"/>
      <c r="H105" s="994"/>
      <c r="I105" s="1031"/>
      <c r="J105" s="338"/>
      <c r="K105" s="337"/>
      <c r="L105" s="1032"/>
      <c r="M105" s="197"/>
      <c r="N105" s="1039"/>
      <c r="O105" s="1039"/>
      <c r="P105" s="160" t="s">
        <v>1858</v>
      </c>
      <c r="Q105" s="1039"/>
      <c r="R105" s="1039"/>
      <c r="S105" s="1039"/>
      <c r="T105" s="1039"/>
      <c r="U105" s="1039"/>
      <c r="V105" s="1039"/>
      <c r="W105" s="1039"/>
      <c r="X105" s="1039"/>
      <c r="Y105" s="1039"/>
      <c r="Z105" s="1039"/>
      <c r="AA105" s="1039"/>
      <c r="AB105" s="1039"/>
      <c r="AC105" s="1039"/>
      <c r="AD105" s="1039"/>
      <c r="AE105" s="1045"/>
      <c r="AF105" s="1035"/>
      <c r="AG105" s="1032"/>
      <c r="AH105" s="1032"/>
      <c r="AI105" s="1035"/>
      <c r="AJ105" s="1032"/>
      <c r="AK105" s="1032"/>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row>
    <row r="107" s="982" customFormat="true" ht="11.25" hidden="false" customHeight="true" outlineLevel="0" collapsed="false">
      <c r="A107" s="982" t="s">
        <v>1863</v>
      </c>
    </row>
    <row r="108" customFormat="false" ht="17.25" hidden="false" customHeight="true" outlineLevel="0" collapsed="false"/>
    <row r="109" s="765" customFormat="true" ht="21" hidden="false" customHeight="true" outlineLevel="0" collapsed="false">
      <c r="A109" s="459"/>
      <c r="B109" s="766"/>
      <c r="E109" s="785"/>
      <c r="F109" s="1063" t="e">
        <f aca="false">INDEX(IP_MAIN_LIST_NAME_IP,MATCH(A109,IP_MAIN_LIST_IP_ID,0))&amp;" ("&amp;INDEX(IP_MAIN_START_DATE,MATCH(A109,IP_MAIN_LIST_IP_ID,0))&amp;"-"&amp;INDEX(IP_MAIN_END_DATE,MATCH(A109,IP_MAIN_LIST_IP_ID,0))&amp;")"</f>
        <v>#N/A</v>
      </c>
      <c r="G109" s="1064"/>
      <c r="H109" s="1065"/>
      <c r="I109" s="1065"/>
      <c r="J109" s="1065"/>
      <c r="K109" s="1065"/>
      <c r="L109" s="1065"/>
      <c r="M109" s="1065"/>
      <c r="N109" s="1065"/>
      <c r="O109" s="1064"/>
      <c r="P109" s="1064"/>
      <c r="Q109" s="1064"/>
      <c r="R109" s="1064"/>
      <c r="S109" s="1064"/>
      <c r="T109" s="1064"/>
      <c r="U109" s="1066"/>
      <c r="V109" s="1066"/>
      <c r="W109" s="1066"/>
      <c r="X109" s="1066"/>
      <c r="Y109" s="1066"/>
      <c r="Z109" s="1066"/>
      <c r="AA109" s="1066"/>
      <c r="AB109" s="1064"/>
      <c r="AC109" s="1065"/>
      <c r="AD109" s="1065"/>
      <c r="AE109" s="1065"/>
      <c r="AF109" s="1065"/>
      <c r="AG109" s="1065"/>
      <c r="AH109" s="1065"/>
      <c r="AI109" s="1065"/>
      <c r="AJ109" s="1065"/>
      <c r="AK109" s="1065"/>
      <c r="AL109" s="1065"/>
      <c r="AM109" s="1065"/>
      <c r="AN109" s="1065"/>
      <c r="AO109" s="1065"/>
      <c r="AP109" s="1065"/>
      <c r="AQ109" s="1065"/>
      <c r="AR109" s="1065"/>
      <c r="AS109" s="1065"/>
      <c r="AT109" s="1065"/>
      <c r="AU109" s="1065"/>
      <c r="AV109" s="1065"/>
      <c r="AW109" s="1065"/>
      <c r="AX109" s="1065"/>
      <c r="AY109" s="1065"/>
      <c r="AZ109" s="1065"/>
      <c r="BA109" s="1065"/>
      <c r="BB109" s="1065"/>
      <c r="BC109" s="1065"/>
      <c r="BD109" s="1065"/>
      <c r="BE109" s="1065"/>
      <c r="BF109" s="1065"/>
      <c r="BG109" s="1065"/>
      <c r="BH109" s="1065"/>
      <c r="BI109" s="1065"/>
      <c r="BJ109" s="1065"/>
      <c r="BK109" s="1065"/>
      <c r="BL109" s="1065"/>
      <c r="BM109" s="1065"/>
      <c r="BN109" s="1065"/>
      <c r="BO109" s="1065"/>
      <c r="BP109" s="1065"/>
      <c r="BQ109" s="1065"/>
      <c r="BR109" s="1065"/>
      <c r="BS109" s="1065"/>
      <c r="BT109" s="1065"/>
      <c r="BU109" s="1065"/>
      <c r="BV109" s="1065"/>
      <c r="BW109" s="1065"/>
      <c r="BX109" s="1065"/>
      <c r="BY109" s="1065"/>
      <c r="BZ109" s="1065"/>
      <c r="CA109" s="1065"/>
      <c r="CB109" s="1065"/>
      <c r="CC109" s="1065"/>
      <c r="CD109" s="1065"/>
      <c r="CE109" s="1065"/>
      <c r="CF109" s="1065"/>
      <c r="CG109" s="1065"/>
      <c r="CH109" s="1065"/>
      <c r="CI109" s="1065"/>
      <c r="CJ109" s="1065"/>
      <c r="CK109" s="1065"/>
      <c r="CL109" s="1067"/>
      <c r="CM109" s="1067"/>
      <c r="CN109" s="1067"/>
      <c r="CO109" s="1067"/>
      <c r="CP109" s="1067"/>
      <c r="CQ109" s="1067"/>
      <c r="CR109" s="1067"/>
      <c r="CS109" s="1067"/>
      <c r="CT109" s="1067"/>
      <c r="CU109" s="1067"/>
      <c r="CV109" s="1067"/>
      <c r="CW109" s="1067"/>
      <c r="CX109" s="1067"/>
      <c r="CY109" s="1067"/>
      <c r="CZ109" s="1067"/>
      <c r="DA109" s="1067"/>
      <c r="DB109" s="1067"/>
      <c r="DC109" s="1067"/>
      <c r="DD109" s="1067"/>
      <c r="DE109" s="1067"/>
      <c r="DF109" s="1067"/>
      <c r="DG109" s="1067"/>
      <c r="DH109" s="1067"/>
      <c r="DI109" s="1067"/>
      <c r="DJ109" s="1067"/>
      <c r="DK109" s="1067"/>
      <c r="DL109" s="1067"/>
      <c r="DM109" s="1067"/>
      <c r="DN109" s="1067"/>
      <c r="DO109" s="1067"/>
      <c r="DP109" s="1067"/>
      <c r="DQ109" s="1067"/>
      <c r="DR109" s="1067"/>
      <c r="DS109" s="1067"/>
      <c r="DT109" s="1067"/>
      <c r="DU109" s="1067"/>
      <c r="DV109" s="1067"/>
      <c r="DW109" s="1067"/>
      <c r="DX109" s="1067"/>
      <c r="DY109" s="1067"/>
      <c r="DZ109" s="1067"/>
      <c r="EA109" s="1067"/>
      <c r="EB109" s="1067"/>
      <c r="EC109" s="1067"/>
      <c r="ED109" s="1067"/>
      <c r="EE109" s="1067"/>
      <c r="EF109" s="1067"/>
      <c r="EG109" s="1067"/>
      <c r="EH109" s="1067"/>
      <c r="EI109" s="1067"/>
      <c r="EJ109" s="1067"/>
      <c r="EK109" s="1067"/>
      <c r="EL109" s="1067"/>
      <c r="EM109" s="1067"/>
      <c r="EN109" s="1067"/>
      <c r="EO109" s="1067"/>
      <c r="EP109" s="1067"/>
      <c r="EQ109" s="1067"/>
      <c r="ER109" s="1067"/>
      <c r="ES109" s="1067"/>
      <c r="ET109" s="1067"/>
      <c r="EU109" s="1067"/>
      <c r="EV109" s="1067"/>
      <c r="EW109" s="1067"/>
      <c r="EX109" s="1067"/>
      <c r="EY109" s="1067"/>
      <c r="EZ109" s="1067"/>
      <c r="FA109" s="1067"/>
      <c r="FB109" s="1067"/>
      <c r="FC109" s="1067"/>
      <c r="FD109" s="1067"/>
      <c r="FE109" s="1067"/>
      <c r="FF109" s="1067"/>
      <c r="FG109" s="1067"/>
      <c r="FH109" s="1067"/>
      <c r="FI109" s="1067"/>
      <c r="FJ109" s="1067"/>
      <c r="FK109" s="1067"/>
      <c r="FL109" s="1067"/>
      <c r="FM109" s="1067"/>
      <c r="FN109" s="1067"/>
      <c r="FO109" s="1067"/>
      <c r="FP109" s="1067"/>
      <c r="FQ109" s="1067"/>
      <c r="FR109" s="1067"/>
      <c r="FS109" s="1067"/>
      <c r="FT109" s="1067"/>
      <c r="FU109" s="1067"/>
      <c r="FV109" s="1068"/>
      <c r="FW109" s="794"/>
      <c r="FX109" s="790"/>
    </row>
    <row r="110" s="765" customFormat="true" ht="24.75" hidden="false" customHeight="true" outlineLevel="0" collapsed="false">
      <c r="B110" s="766"/>
      <c r="E110" s="53"/>
      <c r="F110" s="806" t="n">
        <v>1</v>
      </c>
      <c r="G110" s="104"/>
      <c r="H110" s="97"/>
      <c r="I110" s="1069"/>
      <c r="J110" s="1070"/>
      <c r="K110" s="1070"/>
      <c r="L110" s="1070"/>
      <c r="M110" s="1070"/>
      <c r="N110" s="1070"/>
      <c r="O110" s="1071"/>
      <c r="P110" s="1071"/>
      <c r="Q110" s="1071"/>
      <c r="R110" s="1071"/>
      <c r="S110" s="1071"/>
      <c r="T110" s="1071"/>
      <c r="U110" s="1071"/>
      <c r="V110" s="1071"/>
      <c r="W110" s="1071"/>
      <c r="X110" s="1071"/>
      <c r="Y110" s="1071"/>
      <c r="Z110" s="1071"/>
      <c r="AA110" s="1071"/>
      <c r="AB110" s="1071"/>
      <c r="AC110" s="1070"/>
      <c r="AD110" s="1070"/>
      <c r="AE110" s="1070"/>
      <c r="AF110" s="1070"/>
      <c r="AG110" s="1070"/>
      <c r="AH110" s="1070"/>
      <c r="AI110" s="1070"/>
      <c r="AJ110" s="1070"/>
      <c r="AK110" s="1070"/>
      <c r="AL110" s="1070"/>
      <c r="AM110" s="1070"/>
      <c r="AN110" s="1070"/>
      <c r="AO110" s="1070"/>
      <c r="AP110" s="1070"/>
      <c r="AQ110" s="1070"/>
      <c r="AR110" s="1070"/>
      <c r="AS110" s="1070"/>
      <c r="AT110" s="1070"/>
      <c r="AU110" s="1070"/>
      <c r="AV110" s="1070"/>
      <c r="AW110" s="1070"/>
      <c r="AX110" s="1070"/>
      <c r="AY110" s="1070"/>
      <c r="AZ110" s="1070"/>
      <c r="BA110" s="1070"/>
      <c r="BB110" s="1070"/>
      <c r="BC110" s="1070"/>
      <c r="BD110" s="1070"/>
      <c r="BE110" s="1070"/>
      <c r="BF110" s="1070"/>
      <c r="BG110" s="1070"/>
      <c r="BH110" s="1070"/>
      <c r="BI110" s="1070"/>
      <c r="BJ110" s="1070"/>
      <c r="BK110" s="1070"/>
      <c r="BL110" s="1070"/>
      <c r="BM110" s="1070"/>
      <c r="BN110" s="1070"/>
      <c r="BO110" s="1070"/>
      <c r="BP110" s="1070"/>
      <c r="BQ110" s="1070"/>
      <c r="BR110" s="1070"/>
      <c r="BS110" s="1070"/>
      <c r="BT110" s="1071"/>
      <c r="BU110" s="1071"/>
      <c r="BV110" s="1071"/>
      <c r="BW110" s="1071"/>
      <c r="BX110" s="1071"/>
      <c r="BY110" s="1071"/>
      <c r="BZ110" s="1071"/>
      <c r="CA110" s="1071"/>
      <c r="CB110" s="1071"/>
      <c r="CC110" s="1071"/>
      <c r="CD110" s="1071"/>
      <c r="CE110" s="1071"/>
      <c r="CF110" s="1071"/>
      <c r="CG110" s="1071"/>
      <c r="CH110" s="1071"/>
      <c r="CI110" s="1071"/>
      <c r="CJ110" s="1071"/>
      <c r="CK110" s="1071"/>
      <c r="CL110" s="1070"/>
      <c r="CM110" s="1070"/>
      <c r="CN110" s="1070"/>
      <c r="CO110" s="1070"/>
      <c r="CP110" s="1070"/>
      <c r="CQ110" s="1070"/>
      <c r="CR110" s="1070"/>
      <c r="CS110" s="1070"/>
      <c r="CT110" s="1070"/>
      <c r="CU110" s="1070"/>
      <c r="CV110" s="1070"/>
      <c r="CW110" s="1070"/>
      <c r="CX110" s="1070"/>
      <c r="CY110" s="1071"/>
      <c r="CZ110" s="1071"/>
      <c r="DA110" s="1071"/>
      <c r="DB110" s="1071"/>
      <c r="DC110" s="1071"/>
      <c r="DD110" s="1071"/>
      <c r="DE110" s="1071"/>
      <c r="DF110" s="1071"/>
      <c r="DG110" s="1071"/>
      <c r="DH110" s="1071"/>
      <c r="DI110" s="1071"/>
      <c r="DJ110" s="1071"/>
      <c r="DK110" s="1070"/>
      <c r="DL110" s="1070"/>
      <c r="DM110" s="1070"/>
      <c r="DN110" s="1070"/>
      <c r="DO110" s="1070"/>
      <c r="DP110" s="1070"/>
      <c r="DQ110" s="1070"/>
      <c r="DR110" s="1070"/>
      <c r="DS110" s="1070"/>
      <c r="DT110" s="1070"/>
      <c r="DU110" s="1070"/>
      <c r="DV110" s="1070"/>
      <c r="DW110" s="1070"/>
      <c r="DX110" s="1070"/>
      <c r="DY110" s="1070"/>
      <c r="DZ110" s="1070"/>
      <c r="EA110" s="1070"/>
      <c r="EB110" s="1070"/>
      <c r="EC110" s="1070"/>
      <c r="ED110" s="1070"/>
      <c r="EE110" s="1070"/>
      <c r="EF110" s="1070"/>
      <c r="EG110" s="1070"/>
      <c r="EH110" s="1070"/>
      <c r="EI110" s="1070"/>
      <c r="EJ110" s="1070"/>
      <c r="EK110" s="1070"/>
      <c r="EL110" s="1070"/>
      <c r="EM110" s="1070"/>
      <c r="EN110" s="1070"/>
      <c r="EO110" s="1070"/>
      <c r="EP110" s="1070"/>
      <c r="EQ110" s="1070"/>
      <c r="ER110" s="1070"/>
      <c r="ES110" s="1070"/>
      <c r="ET110" s="1070"/>
      <c r="EU110" s="1070"/>
      <c r="EV110" s="1070"/>
      <c r="EW110" s="1070"/>
      <c r="EX110" s="1070"/>
      <c r="EY110" s="1070"/>
      <c r="EZ110" s="1070"/>
      <c r="FA110" s="1070"/>
      <c r="FB110" s="1070"/>
      <c r="FC110" s="1070"/>
      <c r="FD110" s="1070"/>
      <c r="FE110" s="1070"/>
      <c r="FF110" s="1070"/>
      <c r="FG110" s="1070"/>
      <c r="FH110" s="1070"/>
      <c r="FI110" s="1070"/>
      <c r="FJ110" s="1070"/>
      <c r="FK110" s="1070"/>
      <c r="FL110" s="1070"/>
      <c r="FM110" s="1070"/>
      <c r="FN110" s="1070"/>
      <c r="FO110" s="1070"/>
      <c r="FP110" s="1070"/>
      <c r="FQ110" s="1070"/>
      <c r="FR110" s="1070"/>
      <c r="FS110" s="1070"/>
      <c r="FT110" s="1070"/>
      <c r="FU110" s="1070"/>
      <c r="FV110" s="1070"/>
      <c r="FW110" s="1070"/>
      <c r="FX110" s="790"/>
    </row>
    <row r="111" s="765" customFormat="true" ht="12" hidden="false" customHeight="true" outlineLevel="0" collapsed="false">
      <c r="B111" s="766"/>
      <c r="F111" s="1072"/>
      <c r="G111" s="1047" t="s">
        <v>1864</v>
      </c>
      <c r="H111" s="1047"/>
      <c r="I111" s="1047"/>
      <c r="J111" s="1047"/>
      <c r="K111" s="1047"/>
      <c r="L111" s="1047"/>
      <c r="M111" s="1047"/>
      <c r="N111" s="1047"/>
      <c r="O111" s="1047"/>
      <c r="P111" s="1047"/>
      <c r="Q111" s="1047"/>
      <c r="R111" s="1047"/>
      <c r="S111" s="1047"/>
      <c r="T111" s="1047"/>
      <c r="U111" s="1047"/>
      <c r="V111" s="1047"/>
      <c r="W111" s="1047"/>
      <c r="X111" s="1047"/>
      <c r="Y111" s="1047"/>
      <c r="Z111" s="1047"/>
      <c r="AA111" s="1047"/>
      <c r="AB111" s="1047"/>
      <c r="AC111" s="1047"/>
      <c r="AD111" s="1047"/>
      <c r="AE111" s="1047"/>
      <c r="AF111" s="1047"/>
      <c r="AG111" s="1047"/>
      <c r="AH111" s="1047"/>
      <c r="AI111" s="1047"/>
      <c r="AJ111" s="1047"/>
      <c r="AK111" s="1047"/>
      <c r="AL111" s="1047"/>
      <c r="AM111" s="1047"/>
      <c r="AN111" s="1047"/>
      <c r="AO111" s="1047"/>
      <c r="AP111" s="1047"/>
      <c r="AQ111" s="1047"/>
      <c r="AR111" s="1047"/>
      <c r="AS111" s="1047"/>
      <c r="AT111" s="1047"/>
      <c r="AU111" s="1047"/>
      <c r="AV111" s="1047"/>
      <c r="AW111" s="1047"/>
      <c r="AX111" s="1047"/>
      <c r="AY111" s="1047"/>
      <c r="AZ111" s="1047"/>
      <c r="BA111" s="1047"/>
      <c r="BB111" s="1047"/>
      <c r="BC111" s="1047"/>
      <c r="BD111" s="1047"/>
      <c r="BE111" s="1047"/>
      <c r="BF111" s="1047"/>
      <c r="BG111" s="1047"/>
      <c r="BH111" s="1047"/>
      <c r="BI111" s="1047"/>
      <c r="BJ111" s="1047"/>
      <c r="BK111" s="1047"/>
      <c r="BL111" s="1047"/>
      <c r="BM111" s="1047"/>
      <c r="BN111" s="1047"/>
      <c r="BO111" s="1047"/>
      <c r="BP111" s="1047"/>
      <c r="BQ111" s="1047"/>
      <c r="BR111" s="1047"/>
      <c r="BS111" s="1047"/>
      <c r="BT111" s="1047"/>
      <c r="BU111" s="1047"/>
      <c r="BV111" s="1047"/>
      <c r="BW111" s="1047"/>
      <c r="BX111" s="1047"/>
      <c r="BY111" s="1047"/>
      <c r="BZ111" s="1047"/>
      <c r="CA111" s="1047"/>
      <c r="CB111" s="1047"/>
      <c r="CC111" s="1047"/>
      <c r="CD111" s="1047"/>
      <c r="CE111" s="1047"/>
      <c r="CF111" s="1047"/>
      <c r="CG111" s="1047"/>
      <c r="CH111" s="1047"/>
      <c r="CI111" s="1047"/>
      <c r="CJ111" s="1047"/>
      <c r="CK111" s="1047"/>
      <c r="CL111" s="1047"/>
      <c r="CM111" s="1047"/>
      <c r="CN111" s="1047"/>
      <c r="CO111" s="1047"/>
      <c r="CP111" s="1047"/>
      <c r="CQ111" s="1047"/>
      <c r="CR111" s="1047"/>
      <c r="CS111" s="1047"/>
      <c r="CT111" s="1047"/>
      <c r="CU111" s="1047"/>
      <c r="CV111" s="1047"/>
      <c r="CW111" s="1047"/>
      <c r="CX111" s="1047"/>
      <c r="CY111" s="1047"/>
      <c r="CZ111" s="1047"/>
      <c r="DA111" s="1047"/>
      <c r="DB111" s="1047"/>
      <c r="DC111" s="1047"/>
      <c r="DD111" s="1047"/>
      <c r="DE111" s="1047"/>
      <c r="DF111" s="1047"/>
      <c r="DG111" s="1047"/>
      <c r="DH111" s="1047"/>
      <c r="DI111" s="1047"/>
      <c r="DJ111" s="1047"/>
      <c r="DK111" s="1047"/>
      <c r="DL111" s="1047"/>
      <c r="DM111" s="1047"/>
      <c r="DN111" s="1047"/>
      <c r="DO111" s="1047"/>
      <c r="DP111" s="1047"/>
      <c r="DQ111" s="1047"/>
      <c r="DR111" s="1047"/>
      <c r="DS111" s="1047"/>
      <c r="DT111" s="1047"/>
      <c r="DU111" s="1047"/>
      <c r="DV111" s="1047"/>
      <c r="DW111" s="1047"/>
      <c r="DX111" s="1047"/>
      <c r="DY111" s="1047"/>
      <c r="DZ111" s="1047"/>
      <c r="EA111" s="1047"/>
      <c r="EB111" s="1047"/>
      <c r="EC111" s="1047"/>
      <c r="ED111" s="1047"/>
      <c r="EE111" s="1047"/>
      <c r="EF111" s="1047"/>
      <c r="EG111" s="1047"/>
      <c r="EH111" s="1047"/>
      <c r="EI111" s="1047"/>
      <c r="EJ111" s="1047"/>
      <c r="EK111" s="1047"/>
      <c r="EL111" s="1047"/>
      <c r="EM111" s="1047"/>
      <c r="EN111" s="1047"/>
      <c r="EO111" s="1047"/>
      <c r="EP111" s="1047"/>
      <c r="EQ111" s="1047"/>
      <c r="ER111" s="1047"/>
      <c r="ES111" s="1047"/>
      <c r="ET111" s="1047"/>
      <c r="EU111" s="1047"/>
      <c r="EV111" s="1047"/>
      <c r="EW111" s="1047"/>
      <c r="EX111" s="1047"/>
      <c r="EY111" s="1047"/>
      <c r="EZ111" s="1047"/>
      <c r="FA111" s="1047"/>
      <c r="FB111" s="1047"/>
      <c r="FC111" s="1047"/>
      <c r="FD111" s="1047"/>
      <c r="FE111" s="1047"/>
      <c r="FF111" s="1047"/>
      <c r="FG111" s="1047"/>
      <c r="FH111" s="1047"/>
      <c r="FI111" s="1047"/>
      <c r="FJ111" s="1047"/>
      <c r="FK111" s="1047"/>
      <c r="FL111" s="1047"/>
      <c r="FM111" s="1047"/>
      <c r="FN111" s="1047"/>
      <c r="FO111" s="1047"/>
      <c r="FP111" s="1047"/>
      <c r="FQ111" s="1047"/>
      <c r="FR111" s="1047"/>
      <c r="FS111" s="1047"/>
      <c r="FT111" s="1047"/>
      <c r="FU111" s="1047"/>
      <c r="FV111" s="1047"/>
      <c r="FW111" s="1073"/>
      <c r="FX111" s="131"/>
      <c r="FY111" s="767"/>
      <c r="FZ111" s="767"/>
      <c r="GA111" s="767"/>
      <c r="GB111" s="767"/>
    </row>
    <row r="113" s="982" customFormat="true" ht="11.25" hidden="false" customHeight="true" outlineLevel="0" collapsed="false">
      <c r="A113" s="982" t="s">
        <v>1865</v>
      </c>
    </row>
    <row r="115" s="53" customFormat="true" ht="15" hidden="false" customHeight="true" outlineLevel="0" collapsed="false">
      <c r="A115" s="666"/>
      <c r="D115" s="197" t="s">
        <v>117</v>
      </c>
      <c r="E115" s="667" t="s">
        <v>113</v>
      </c>
      <c r="F115" s="667"/>
      <c r="G115" s="667"/>
      <c r="H115" s="668" t="str">
        <f aca="false">IF(A115="","",INDEX(DIFFERENTIATION_UNMERGE_VD,MATCH(A115,DIFFERENTIATION_ID_DIFF,0)))</f>
        <v/>
      </c>
      <c r="I115" s="668"/>
      <c r="J115" s="668"/>
      <c r="K115" s="668"/>
      <c r="L115" s="668"/>
      <c r="M115" s="668"/>
      <c r="N115" s="668"/>
      <c r="O115" s="668"/>
      <c r="P115" s="668"/>
      <c r="Q115" s="668"/>
      <c r="R115" s="668"/>
      <c r="S115" s="669"/>
      <c r="T115" s="670"/>
      <c r="U115" s="155"/>
      <c r="V115" s="155"/>
      <c r="W115" s="54"/>
      <c r="X115" s="54"/>
      <c r="Y115" s="54"/>
      <c r="Z115" s="54"/>
      <c r="AA115" s="155"/>
      <c r="AB115" s="54"/>
      <c r="AC115" s="671"/>
      <c r="AD115" s="54"/>
      <c r="AE115" s="672"/>
      <c r="AF115" s="672"/>
      <c r="AG115" s="673" t="s">
        <v>630</v>
      </c>
      <c r="AH115" s="674" t="n">
        <v>3</v>
      </c>
      <c r="AI115" s="155"/>
      <c r="AJ115" s="155"/>
      <c r="AK115" s="155"/>
      <c r="AL115" s="155"/>
      <c r="AM115" s="155"/>
      <c r="AN115" s="155"/>
      <c r="AO115" s="155"/>
      <c r="AP115" s="155"/>
      <c r="AQ115" s="155"/>
      <c r="AR115" s="155"/>
      <c r="AS115" s="155"/>
      <c r="AT115" s="155"/>
      <c r="AU115" s="155"/>
      <c r="AV115" s="155"/>
      <c r="AW115" s="155"/>
      <c r="AX115" s="155"/>
      <c r="AY115" s="155"/>
      <c r="AZ115" s="155"/>
      <c r="BA115" s="155"/>
      <c r="BB115" s="155"/>
      <c r="BC115" s="155"/>
      <c r="BD115" s="155"/>
      <c r="BE115" s="155"/>
      <c r="BF115" s="155"/>
      <c r="BG115" s="155"/>
      <c r="BH115" s="155"/>
      <c r="BI115" s="155"/>
      <c r="BJ115" s="155"/>
      <c r="BK115" s="155"/>
      <c r="BL115" s="155"/>
      <c r="BM115" s="155"/>
      <c r="BN115" s="155"/>
      <c r="BO115" s="155"/>
      <c r="BP115" s="155"/>
      <c r="BQ115" s="155"/>
      <c r="BR115" s="155"/>
      <c r="BS115" s="155"/>
      <c r="BT115" s="155"/>
      <c r="BU115" s="155"/>
      <c r="BV115" s="54"/>
      <c r="BW115" s="54"/>
      <c r="BX115" s="54"/>
      <c r="BY115" s="54"/>
      <c r="BZ115" s="54"/>
      <c r="CA115" s="54"/>
      <c r="CB115" s="54"/>
      <c r="CC115" s="54"/>
      <c r="CD115" s="54"/>
      <c r="CE115" s="54"/>
    </row>
    <row r="116" s="53" customFormat="true" ht="15" hidden="false" customHeight="true" outlineLevel="0" collapsed="false">
      <c r="A116" s="666"/>
      <c r="D116" s="197"/>
      <c r="E116" s="667" t="s">
        <v>585</v>
      </c>
      <c r="F116" s="667"/>
      <c r="G116" s="667"/>
      <c r="H116" s="668" t="str">
        <f aca="false">IF(A115="","",INDEX(DIFFERENTIATION_UNMERGE_AREA,MATCH(A115,DIFFERENTIATION_ID_DIFF,0)))</f>
        <v/>
      </c>
      <c r="I116" s="668"/>
      <c r="J116" s="668"/>
      <c r="K116" s="668"/>
      <c r="L116" s="668"/>
      <c r="M116" s="668"/>
      <c r="N116" s="668"/>
      <c r="O116" s="668"/>
      <c r="P116" s="668"/>
      <c r="Q116" s="668"/>
      <c r="R116" s="668"/>
      <c r="S116" s="669"/>
      <c r="T116" s="670"/>
      <c r="U116" s="155"/>
      <c r="V116" s="155"/>
      <c r="W116" s="54"/>
      <c r="X116" s="54"/>
      <c r="Y116" s="54"/>
      <c r="Z116" s="54"/>
      <c r="AA116" s="155"/>
      <c r="AB116" s="54"/>
      <c r="AC116" s="671"/>
      <c r="AD116" s="54"/>
      <c r="AE116" s="672"/>
      <c r="AF116" s="672"/>
      <c r="AG116" s="673"/>
      <c r="AH116" s="674"/>
      <c r="AI116" s="155"/>
      <c r="AJ116" s="155"/>
      <c r="AK116" s="155"/>
      <c r="AL116" s="155"/>
      <c r="AM116" s="155"/>
      <c r="AN116" s="155"/>
      <c r="AO116" s="155"/>
      <c r="AP116" s="155"/>
      <c r="AQ116" s="155"/>
      <c r="AR116" s="155"/>
      <c r="AS116" s="155"/>
      <c r="AT116" s="155"/>
      <c r="AU116" s="155"/>
      <c r="AV116" s="155"/>
      <c r="AW116" s="155"/>
      <c r="AX116" s="155"/>
      <c r="AY116" s="155"/>
      <c r="AZ116" s="155"/>
      <c r="BA116" s="155"/>
      <c r="BB116" s="155"/>
      <c r="BC116" s="155"/>
      <c r="BD116" s="155"/>
      <c r="BE116" s="155"/>
      <c r="BF116" s="155"/>
      <c r="BG116" s="155"/>
      <c r="BH116" s="155"/>
      <c r="BI116" s="155"/>
      <c r="BJ116" s="155"/>
      <c r="BK116" s="155"/>
      <c r="BL116" s="155"/>
      <c r="BM116" s="155"/>
      <c r="BN116" s="155"/>
      <c r="BO116" s="155"/>
      <c r="BP116" s="155"/>
      <c r="BQ116" s="155"/>
      <c r="BR116" s="155"/>
      <c r="BS116" s="155"/>
      <c r="BT116" s="155"/>
      <c r="BU116" s="155"/>
      <c r="BV116" s="54"/>
      <c r="BW116" s="54"/>
      <c r="BX116" s="54"/>
      <c r="BY116" s="54"/>
      <c r="BZ116" s="54"/>
      <c r="CA116" s="54"/>
      <c r="CB116" s="54"/>
      <c r="CC116" s="54"/>
      <c r="CD116" s="54"/>
      <c r="CE116" s="54"/>
    </row>
    <row r="117" s="53" customFormat="true" ht="15" hidden="false" customHeight="true" outlineLevel="0" collapsed="false">
      <c r="A117" s="666"/>
      <c r="D117" s="197"/>
      <c r="E117" s="667" t="s">
        <v>586</v>
      </c>
      <c r="F117" s="667"/>
      <c r="G117" s="667"/>
      <c r="H117" s="668" t="str">
        <f aca="false">IF(A115="","",INDEX(DIFFERENTIATION_UNMERGE_SYSTEM,MATCH(A115,DIFFERENTIATION_ID_DIFF,0)))</f>
        <v/>
      </c>
      <c r="I117" s="668"/>
      <c r="J117" s="668"/>
      <c r="K117" s="668"/>
      <c r="L117" s="668"/>
      <c r="M117" s="668"/>
      <c r="N117" s="668"/>
      <c r="O117" s="668"/>
      <c r="P117" s="668"/>
      <c r="Q117" s="668"/>
      <c r="R117" s="668"/>
      <c r="S117" s="669"/>
      <c r="T117" s="670"/>
      <c r="U117" s="155"/>
      <c r="V117" s="155"/>
      <c r="W117" s="54"/>
      <c r="X117" s="54"/>
      <c r="Y117" s="54"/>
      <c r="Z117" s="54"/>
      <c r="AA117" s="155"/>
      <c r="AB117" s="54"/>
      <c r="AC117" s="671"/>
      <c r="AD117" s="54"/>
      <c r="AE117" s="672"/>
      <c r="AF117" s="672"/>
      <c r="AG117" s="673"/>
      <c r="AH117" s="674"/>
      <c r="AI117" s="155"/>
      <c r="AJ117" s="155"/>
      <c r="AK117" s="155"/>
      <c r="AL117" s="155"/>
      <c r="AM117" s="155"/>
      <c r="AN117" s="155"/>
      <c r="AO117" s="155"/>
      <c r="AP117" s="155"/>
      <c r="AQ117" s="155"/>
      <c r="AR117" s="155"/>
      <c r="AS117" s="155"/>
      <c r="AT117" s="155"/>
      <c r="AU117" s="155"/>
      <c r="AV117" s="155"/>
      <c r="AW117" s="155"/>
      <c r="AX117" s="155"/>
      <c r="AY117" s="155"/>
      <c r="AZ117" s="155"/>
      <c r="BA117" s="155"/>
      <c r="BB117" s="155"/>
      <c r="BC117" s="155"/>
      <c r="BD117" s="155"/>
      <c r="BE117" s="155"/>
      <c r="BF117" s="155"/>
      <c r="BG117" s="155"/>
      <c r="BH117" s="155"/>
      <c r="BI117" s="155"/>
      <c r="BJ117" s="155"/>
      <c r="BK117" s="155"/>
      <c r="BL117" s="155"/>
      <c r="BM117" s="155"/>
      <c r="BN117" s="155"/>
      <c r="BO117" s="155"/>
      <c r="BP117" s="155"/>
      <c r="BQ117" s="155"/>
      <c r="BR117" s="155"/>
      <c r="BS117" s="155"/>
      <c r="BT117" s="155"/>
      <c r="BU117" s="155"/>
      <c r="BV117" s="54"/>
      <c r="BW117" s="54"/>
      <c r="BX117" s="54"/>
      <c r="BY117" s="54"/>
      <c r="BZ117" s="54"/>
      <c r="CA117" s="54"/>
      <c r="CB117" s="54"/>
      <c r="CC117" s="54"/>
      <c r="CD117" s="54"/>
      <c r="CE117" s="54"/>
    </row>
    <row r="118" s="53" customFormat="true" ht="24.75" hidden="false" customHeight="true" outlineLevel="0" collapsed="false">
      <c r="A118" s="44"/>
      <c r="B118" s="45"/>
      <c r="C118" s="156"/>
      <c r="D118" s="197"/>
      <c r="E118" s="675" t="s">
        <v>631</v>
      </c>
      <c r="F118" s="675"/>
      <c r="G118" s="675"/>
      <c r="H118" s="675"/>
      <c r="I118" s="675"/>
      <c r="J118" s="675"/>
      <c r="K118" s="675"/>
      <c r="L118" s="675"/>
      <c r="M118" s="675"/>
      <c r="N118" s="675"/>
      <c r="O118" s="675"/>
      <c r="P118" s="675"/>
      <c r="Q118" s="611" t="n">
        <f aca="false">SUMIF(T119:T120,"i",Q119:Q120)</f>
        <v>0</v>
      </c>
      <c r="R118" s="676"/>
      <c r="S118" s="609" t="s">
        <v>632</v>
      </c>
      <c r="T118" s="670" t="s">
        <v>633</v>
      </c>
      <c r="U118" s="120" t="n">
        <v>1</v>
      </c>
      <c r="V118" s="120" t="s">
        <v>596</v>
      </c>
      <c r="W118" s="45"/>
      <c r="X118" s="45"/>
      <c r="Y118" s="45"/>
      <c r="Z118" s="45"/>
      <c r="AA118" s="47"/>
      <c r="AB118" s="45"/>
      <c r="AC118" s="671"/>
      <c r="AD118" s="54"/>
      <c r="AE118" s="45"/>
      <c r="AF118" s="45"/>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5"/>
      <c r="BW118" s="45"/>
      <c r="BX118" s="45"/>
      <c r="BY118" s="45"/>
      <c r="BZ118" s="45"/>
      <c r="CA118" s="45"/>
      <c r="CB118" s="45"/>
      <c r="CC118" s="45"/>
      <c r="CD118" s="45"/>
      <c r="CE118" s="45"/>
    </row>
    <row r="119" s="53" customFormat="true" ht="11.25" hidden="true" customHeight="true" outlineLevel="0" collapsed="false">
      <c r="A119" s="120"/>
      <c r="B119" s="47"/>
      <c r="C119" s="47"/>
      <c r="D119" s="197"/>
      <c r="E119" s="305"/>
      <c r="F119" s="305" t="n">
        <v>0</v>
      </c>
      <c r="G119" s="305"/>
      <c r="H119" s="305"/>
      <c r="I119" s="305"/>
      <c r="J119" s="305"/>
      <c r="K119" s="305"/>
      <c r="L119" s="305"/>
      <c r="M119" s="305"/>
      <c r="N119" s="305"/>
      <c r="O119" s="305"/>
      <c r="P119" s="305"/>
      <c r="Q119" s="305"/>
      <c r="R119" s="305"/>
      <c r="S119" s="304"/>
      <c r="T119" s="677"/>
      <c r="U119" s="120"/>
      <c r="V119" s="120"/>
      <c r="W119" s="47"/>
      <c r="X119" s="47"/>
      <c r="Y119" s="47"/>
      <c r="Z119" s="47"/>
      <c r="AA119" s="47"/>
      <c r="AB119" s="45"/>
      <c r="AC119" s="671"/>
      <c r="AD119" s="54"/>
      <c r="AE119" s="45"/>
      <c r="AF119" s="45"/>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row>
    <row r="120" s="53" customFormat="true" ht="11.25" hidden="false" customHeight="true" outlineLevel="0" collapsed="false">
      <c r="A120" s="44"/>
      <c r="B120" s="45"/>
      <c r="C120" s="156"/>
      <c r="D120" s="197"/>
      <c r="E120" s="532"/>
      <c r="F120" s="160"/>
      <c r="G120" s="160" t="s">
        <v>1866</v>
      </c>
      <c r="H120" s="167"/>
      <c r="I120" s="167"/>
      <c r="J120" s="167"/>
      <c r="K120" s="167"/>
      <c r="L120" s="167"/>
      <c r="M120" s="167"/>
      <c r="N120" s="167"/>
      <c r="O120" s="167"/>
      <c r="P120" s="167"/>
      <c r="Q120" s="167"/>
      <c r="R120" s="206"/>
      <c r="S120" s="1074"/>
      <c r="T120" s="677"/>
      <c r="U120" s="120"/>
      <c r="V120" s="120"/>
      <c r="W120" s="45"/>
      <c r="X120" s="45"/>
      <c r="Y120" s="45"/>
      <c r="Z120" s="45"/>
      <c r="AA120" s="47"/>
      <c r="AB120" s="45"/>
      <c r="AC120" s="671"/>
      <c r="AD120" s="54"/>
      <c r="AE120" s="45"/>
      <c r="AF120" s="45"/>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5"/>
      <c r="BW120" s="45"/>
      <c r="BX120" s="45"/>
      <c r="BY120" s="45"/>
      <c r="BZ120" s="45"/>
      <c r="CA120" s="45"/>
      <c r="CB120" s="45"/>
      <c r="CC120" s="45"/>
      <c r="CD120" s="45"/>
      <c r="CE120" s="45"/>
    </row>
    <row r="121" s="53" customFormat="true" ht="24.75" hidden="false" customHeight="true" outlineLevel="0" collapsed="false">
      <c r="A121" s="44"/>
      <c r="B121" s="45"/>
      <c r="C121" s="156"/>
      <c r="D121" s="197"/>
      <c r="E121" s="675" t="s">
        <v>634</v>
      </c>
      <c r="F121" s="675"/>
      <c r="G121" s="675"/>
      <c r="H121" s="675"/>
      <c r="I121" s="675"/>
      <c r="J121" s="675"/>
      <c r="K121" s="675"/>
      <c r="L121" s="675"/>
      <c r="M121" s="675"/>
      <c r="N121" s="675"/>
      <c r="O121" s="675"/>
      <c r="P121" s="675"/>
      <c r="Q121" s="611" t="n">
        <f aca="false">SUMIF(T122:T123,"i",Q122:Q123)</f>
        <v>0</v>
      </c>
      <c r="R121" s="676"/>
      <c r="S121" s="609" t="s">
        <v>635</v>
      </c>
      <c r="T121" s="670" t="s">
        <v>633</v>
      </c>
      <c r="U121" s="120" t="n">
        <v>1</v>
      </c>
      <c r="V121" s="120" t="s">
        <v>596</v>
      </c>
      <c r="W121" s="45"/>
      <c r="X121" s="45"/>
      <c r="Y121" s="45"/>
      <c r="Z121" s="45"/>
      <c r="AA121" s="47"/>
      <c r="AB121" s="45"/>
      <c r="AC121" s="671"/>
      <c r="AD121" s="54"/>
      <c r="AE121" s="45"/>
      <c r="AF121" s="45"/>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5"/>
      <c r="BW121" s="45"/>
      <c r="BX121" s="45"/>
      <c r="BY121" s="45"/>
      <c r="BZ121" s="45"/>
      <c r="CA121" s="45"/>
      <c r="CB121" s="45"/>
      <c r="CC121" s="45"/>
      <c r="CD121" s="45"/>
      <c r="CE121" s="45"/>
    </row>
    <row r="122" s="53" customFormat="true" ht="11.25" hidden="true" customHeight="true" outlineLevel="0" collapsed="false">
      <c r="A122" s="120"/>
      <c r="B122" s="47"/>
      <c r="C122" s="47"/>
      <c r="D122" s="197"/>
      <c r="E122" s="305"/>
      <c r="F122" s="305" t="n">
        <v>0</v>
      </c>
      <c r="G122" s="305"/>
      <c r="H122" s="305"/>
      <c r="I122" s="305"/>
      <c r="J122" s="305"/>
      <c r="K122" s="305"/>
      <c r="L122" s="305"/>
      <c r="M122" s="305"/>
      <c r="N122" s="305"/>
      <c r="O122" s="305"/>
      <c r="P122" s="305"/>
      <c r="Q122" s="305"/>
      <c r="R122" s="305"/>
      <c r="S122" s="304"/>
      <c r="T122" s="677"/>
      <c r="U122" s="120"/>
      <c r="V122" s="120"/>
      <c r="W122" s="47"/>
      <c r="X122" s="47"/>
      <c r="Y122" s="47"/>
      <c r="Z122" s="47"/>
      <c r="AA122" s="47"/>
      <c r="AB122" s="45"/>
      <c r="AC122" s="671"/>
      <c r="AD122" s="54"/>
      <c r="AE122" s="45"/>
      <c r="AF122" s="45"/>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row>
    <row r="123" s="53" customFormat="true" ht="11.25" hidden="false" customHeight="true" outlineLevel="0" collapsed="false">
      <c r="A123" s="44"/>
      <c r="B123" s="45"/>
      <c r="C123" s="156"/>
      <c r="D123" s="197"/>
      <c r="E123" s="532"/>
      <c r="F123" s="160"/>
      <c r="G123" s="160" t="s">
        <v>1866</v>
      </c>
      <c r="H123" s="167"/>
      <c r="I123" s="167"/>
      <c r="J123" s="167"/>
      <c r="K123" s="167"/>
      <c r="L123" s="167"/>
      <c r="M123" s="167"/>
      <c r="N123" s="167"/>
      <c r="O123" s="167"/>
      <c r="P123" s="167"/>
      <c r="Q123" s="167"/>
      <c r="R123" s="206"/>
      <c r="S123" s="1074"/>
      <c r="T123" s="677"/>
      <c r="U123" s="120"/>
      <c r="V123" s="120"/>
      <c r="W123" s="45"/>
      <c r="X123" s="45"/>
      <c r="Y123" s="45"/>
      <c r="Z123" s="45"/>
      <c r="AA123" s="47"/>
      <c r="AB123" s="45"/>
      <c r="AC123" s="671"/>
      <c r="AD123" s="54"/>
      <c r="AE123" s="45"/>
      <c r="AF123" s="45"/>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5"/>
      <c r="BW123" s="45"/>
      <c r="BX123" s="45"/>
      <c r="BY123" s="45"/>
      <c r="BZ123" s="45"/>
      <c r="CA123" s="45"/>
      <c r="CB123" s="45"/>
      <c r="CC123" s="45"/>
      <c r="CD123" s="45"/>
      <c r="CE123" s="45"/>
    </row>
    <row r="125" s="982" customFormat="true" ht="11.25" hidden="false" customHeight="true" outlineLevel="0" collapsed="false">
      <c r="A125" s="982" t="s">
        <v>1867</v>
      </c>
    </row>
    <row r="127" s="53" customFormat="true" ht="15" hidden="false" customHeight="true" outlineLevel="0" collapsed="false">
      <c r="A127" s="666"/>
      <c r="D127" s="197" t="s">
        <v>117</v>
      </c>
      <c r="E127" s="667" t="s">
        <v>113</v>
      </c>
      <c r="F127" s="667"/>
      <c r="G127" s="667"/>
      <c r="H127" s="668" t="str">
        <f aca="false">IF(A127="","",INDEX(DIFFERENTIATION_UNMERGE_VD,MATCH(A127,DIFFERENTIATION_ID_DIFF,0)))</f>
        <v/>
      </c>
      <c r="I127" s="668"/>
      <c r="J127" s="668"/>
      <c r="K127" s="668"/>
      <c r="L127" s="668"/>
      <c r="M127" s="668"/>
      <c r="N127" s="668"/>
      <c r="O127" s="668"/>
      <c r="P127" s="668"/>
      <c r="Q127" s="668"/>
      <c r="R127" s="668"/>
      <c r="S127" s="669"/>
      <c r="T127" s="670"/>
      <c r="U127" s="155"/>
      <c r="V127" s="155"/>
      <c r="W127" s="54"/>
      <c r="X127" s="54"/>
      <c r="Y127" s="54"/>
      <c r="Z127" s="54"/>
      <c r="AA127" s="155"/>
      <c r="AB127" s="54"/>
      <c r="AC127" s="671"/>
      <c r="AD127" s="54"/>
      <c r="AE127" s="672"/>
      <c r="AF127" s="672"/>
      <c r="AG127" s="673" t="s">
        <v>630</v>
      </c>
      <c r="AH127" s="674" t="n">
        <v>3</v>
      </c>
      <c r="AI127" s="155"/>
      <c r="AJ127" s="155"/>
      <c r="AK127" s="155"/>
      <c r="AL127" s="155"/>
      <c r="AM127" s="155"/>
      <c r="AN127" s="155"/>
      <c r="AO127" s="155"/>
      <c r="AP127" s="155"/>
      <c r="AQ127" s="155"/>
      <c r="AR127" s="155"/>
      <c r="AS127" s="155"/>
      <c r="AT127" s="155"/>
      <c r="AU127" s="155"/>
      <c r="AV127" s="155"/>
      <c r="AW127" s="155"/>
      <c r="AX127" s="155"/>
      <c r="AY127" s="155"/>
      <c r="AZ127" s="155"/>
      <c r="BA127" s="155"/>
      <c r="BB127" s="155"/>
      <c r="BC127" s="155"/>
      <c r="BD127" s="155"/>
      <c r="BE127" s="155"/>
      <c r="BF127" s="155"/>
      <c r="BG127" s="155"/>
      <c r="BH127" s="155"/>
      <c r="BI127" s="155"/>
      <c r="BJ127" s="155"/>
      <c r="BK127" s="155"/>
      <c r="BL127" s="155"/>
      <c r="BM127" s="155"/>
      <c r="BN127" s="155"/>
      <c r="BO127" s="155"/>
      <c r="BP127" s="155"/>
      <c r="BQ127" s="155"/>
      <c r="BR127" s="155"/>
      <c r="BS127" s="155"/>
      <c r="BT127" s="155"/>
      <c r="BU127" s="155"/>
      <c r="BV127" s="54"/>
      <c r="BW127" s="54"/>
      <c r="BX127" s="54"/>
      <c r="BY127" s="54"/>
      <c r="BZ127" s="54"/>
      <c r="CA127" s="54"/>
      <c r="CB127" s="54"/>
      <c r="CC127" s="54"/>
      <c r="CD127" s="54"/>
      <c r="CE127" s="54"/>
    </row>
    <row r="128" s="53" customFormat="true" ht="15" hidden="false" customHeight="true" outlineLevel="0" collapsed="false">
      <c r="A128" s="666"/>
      <c r="D128" s="197"/>
      <c r="E128" s="667" t="s">
        <v>585</v>
      </c>
      <c r="F128" s="667"/>
      <c r="G128" s="667"/>
      <c r="H128" s="668" t="str">
        <f aca="false">IF(A127="","",INDEX(DIFFERENTIATION_UNMERGE_AREA,MATCH(A127,DIFFERENTIATION_ID_DIFF,0)))</f>
        <v/>
      </c>
      <c r="I128" s="668"/>
      <c r="J128" s="668"/>
      <c r="K128" s="668"/>
      <c r="L128" s="668"/>
      <c r="M128" s="668"/>
      <c r="N128" s="668"/>
      <c r="O128" s="668"/>
      <c r="P128" s="668"/>
      <c r="Q128" s="668"/>
      <c r="R128" s="668"/>
      <c r="S128" s="669"/>
      <c r="T128" s="670"/>
      <c r="U128" s="155"/>
      <c r="V128" s="155"/>
      <c r="W128" s="54"/>
      <c r="X128" s="54"/>
      <c r="Y128" s="54"/>
      <c r="Z128" s="54"/>
      <c r="AA128" s="155"/>
      <c r="AB128" s="54"/>
      <c r="AC128" s="671"/>
      <c r="AD128" s="54"/>
      <c r="AE128" s="672"/>
      <c r="AF128" s="672"/>
      <c r="AG128" s="673"/>
      <c r="AH128" s="674"/>
      <c r="AI128" s="155"/>
      <c r="AJ128" s="155"/>
      <c r="AK128" s="155"/>
      <c r="AL128" s="155"/>
      <c r="AM128" s="155"/>
      <c r="AN128" s="155"/>
      <c r="AO128" s="155"/>
      <c r="AP128" s="155"/>
      <c r="AQ128" s="155"/>
      <c r="AR128" s="155"/>
      <c r="AS128" s="155"/>
      <c r="AT128" s="155"/>
      <c r="AU128" s="155"/>
      <c r="AV128" s="155"/>
      <c r="AW128" s="155"/>
      <c r="AX128" s="155"/>
      <c r="AY128" s="155"/>
      <c r="AZ128" s="155"/>
      <c r="BA128" s="155"/>
      <c r="BB128" s="155"/>
      <c r="BC128" s="155"/>
      <c r="BD128" s="155"/>
      <c r="BE128" s="155"/>
      <c r="BF128" s="155"/>
      <c r="BG128" s="155"/>
      <c r="BH128" s="155"/>
      <c r="BI128" s="155"/>
      <c r="BJ128" s="155"/>
      <c r="BK128" s="155"/>
      <c r="BL128" s="155"/>
      <c r="BM128" s="155"/>
      <c r="BN128" s="155"/>
      <c r="BO128" s="155"/>
      <c r="BP128" s="155"/>
      <c r="BQ128" s="155"/>
      <c r="BR128" s="155"/>
      <c r="BS128" s="155"/>
      <c r="BT128" s="155"/>
      <c r="BU128" s="155"/>
      <c r="BV128" s="54"/>
      <c r="BW128" s="54"/>
      <c r="BX128" s="54"/>
      <c r="BY128" s="54"/>
      <c r="BZ128" s="54"/>
      <c r="CA128" s="54"/>
      <c r="CB128" s="54"/>
      <c r="CC128" s="54"/>
      <c r="CD128" s="54"/>
      <c r="CE128" s="54"/>
    </row>
    <row r="129" s="53" customFormat="true" ht="15" hidden="false" customHeight="true" outlineLevel="0" collapsed="false">
      <c r="A129" s="666"/>
      <c r="D129" s="197"/>
      <c r="E129" s="667" t="s">
        <v>586</v>
      </c>
      <c r="F129" s="667"/>
      <c r="G129" s="667"/>
      <c r="H129" s="668" t="str">
        <f aca="false">IF(A127="","",INDEX(DIFFERENTIATION_UNMERGE_SYSTEM,MATCH(A127,DIFFERENTIATION_ID_DIFF,0)))</f>
        <v/>
      </c>
      <c r="I129" s="668"/>
      <c r="J129" s="668"/>
      <c r="K129" s="668"/>
      <c r="L129" s="668"/>
      <c r="M129" s="668"/>
      <c r="N129" s="668"/>
      <c r="O129" s="668"/>
      <c r="P129" s="668"/>
      <c r="Q129" s="668"/>
      <c r="R129" s="668"/>
      <c r="S129" s="669"/>
      <c r="T129" s="670"/>
      <c r="U129" s="155"/>
      <c r="V129" s="155"/>
      <c r="W129" s="54"/>
      <c r="X129" s="54"/>
      <c r="Y129" s="54"/>
      <c r="Z129" s="54"/>
      <c r="AA129" s="155"/>
      <c r="AB129" s="54"/>
      <c r="AC129" s="671"/>
      <c r="AD129" s="54"/>
      <c r="AE129" s="672"/>
      <c r="AF129" s="672"/>
      <c r="AG129" s="673"/>
      <c r="AH129" s="674"/>
      <c r="AI129" s="155"/>
      <c r="AJ129" s="155"/>
      <c r="AK129" s="155"/>
      <c r="AL129" s="155"/>
      <c r="AM129" s="155"/>
      <c r="AN129" s="155"/>
      <c r="AO129" s="155"/>
      <c r="AP129" s="155"/>
      <c r="AQ129" s="155"/>
      <c r="AR129" s="155"/>
      <c r="AS129" s="155"/>
      <c r="AT129" s="155"/>
      <c r="AU129" s="155"/>
      <c r="AV129" s="155"/>
      <c r="AW129" s="155"/>
      <c r="AX129" s="155"/>
      <c r="AY129" s="155"/>
      <c r="AZ129" s="155"/>
      <c r="BA129" s="155"/>
      <c r="BB129" s="155"/>
      <c r="BC129" s="155"/>
      <c r="BD129" s="155"/>
      <c r="BE129" s="155"/>
      <c r="BF129" s="155"/>
      <c r="BG129" s="155"/>
      <c r="BH129" s="155"/>
      <c r="BI129" s="155"/>
      <c r="BJ129" s="155"/>
      <c r="BK129" s="155"/>
      <c r="BL129" s="155"/>
      <c r="BM129" s="155"/>
      <c r="BN129" s="155"/>
      <c r="BO129" s="155"/>
      <c r="BP129" s="155"/>
      <c r="BQ129" s="155"/>
      <c r="BR129" s="155"/>
      <c r="BS129" s="155"/>
      <c r="BT129" s="155"/>
      <c r="BU129" s="155"/>
      <c r="BV129" s="54"/>
      <c r="BW129" s="54"/>
      <c r="BX129" s="54"/>
      <c r="BY129" s="54"/>
      <c r="BZ129" s="54"/>
      <c r="CA129" s="54"/>
      <c r="CB129" s="54"/>
      <c r="CC129" s="54"/>
      <c r="CD129" s="54"/>
      <c r="CE129" s="54"/>
    </row>
    <row r="130" s="53" customFormat="true" ht="24.75" hidden="false" customHeight="true" outlineLevel="0" collapsed="false">
      <c r="A130" s="44"/>
      <c r="B130" s="45"/>
      <c r="C130" s="156"/>
      <c r="D130" s="197"/>
      <c r="E130" s="675" t="s">
        <v>631</v>
      </c>
      <c r="F130" s="675"/>
      <c r="G130" s="675"/>
      <c r="H130" s="675"/>
      <c r="I130" s="675"/>
      <c r="J130" s="675"/>
      <c r="K130" s="675"/>
      <c r="L130" s="675"/>
      <c r="M130" s="675"/>
      <c r="N130" s="675"/>
      <c r="O130" s="675"/>
      <c r="P130" s="675"/>
      <c r="Q130" s="611" t="n">
        <f aca="false">SUMIF(T131:T132,"i",Q131:Q132)</f>
        <v>0</v>
      </c>
      <c r="R130" s="676"/>
      <c r="S130" s="609" t="s">
        <v>632</v>
      </c>
      <c r="T130" s="670" t="s">
        <v>633</v>
      </c>
      <c r="U130" s="120" t="n">
        <v>1</v>
      </c>
      <c r="V130" s="120" t="s">
        <v>596</v>
      </c>
      <c r="W130" s="45"/>
      <c r="X130" s="45"/>
      <c r="Y130" s="45"/>
      <c r="Z130" s="45"/>
      <c r="AA130" s="47"/>
      <c r="AB130" s="45"/>
      <c r="AC130" s="671"/>
      <c r="AD130" s="54"/>
      <c r="AE130" s="45"/>
      <c r="AF130" s="45"/>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5"/>
      <c r="BW130" s="45"/>
      <c r="BX130" s="45"/>
      <c r="BY130" s="45"/>
      <c r="BZ130" s="45"/>
      <c r="CA130" s="45"/>
      <c r="CB130" s="45"/>
      <c r="CC130" s="45"/>
      <c r="CD130" s="45"/>
      <c r="CE130" s="45"/>
    </row>
    <row r="131" s="53" customFormat="true" ht="11.25" hidden="true" customHeight="true" outlineLevel="0" collapsed="false">
      <c r="A131" s="120"/>
      <c r="B131" s="47"/>
      <c r="C131" s="47"/>
      <c r="D131" s="197"/>
      <c r="E131" s="305"/>
      <c r="F131" s="305" t="n">
        <v>0</v>
      </c>
      <c r="G131" s="305"/>
      <c r="H131" s="305"/>
      <c r="I131" s="305"/>
      <c r="J131" s="305"/>
      <c r="K131" s="305"/>
      <c r="L131" s="305"/>
      <c r="M131" s="305"/>
      <c r="N131" s="305"/>
      <c r="O131" s="305"/>
      <c r="P131" s="305"/>
      <c r="Q131" s="305"/>
      <c r="R131" s="305"/>
      <c r="S131" s="304"/>
      <c r="T131" s="677"/>
      <c r="U131" s="120"/>
      <c r="V131" s="120"/>
      <c r="W131" s="47"/>
      <c r="X131" s="47"/>
      <c r="Y131" s="47"/>
      <c r="Z131" s="47"/>
      <c r="AA131" s="47"/>
      <c r="AB131" s="45"/>
      <c r="AC131" s="671"/>
      <c r="AD131" s="54"/>
      <c r="AE131" s="45"/>
      <c r="AF131" s="45"/>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row>
    <row r="132" s="53" customFormat="true" ht="11.25" hidden="false" customHeight="true" outlineLevel="0" collapsed="false">
      <c r="A132" s="44"/>
      <c r="B132" s="45"/>
      <c r="C132" s="156"/>
      <c r="D132" s="197"/>
      <c r="E132" s="532"/>
      <c r="F132" s="160"/>
      <c r="G132" s="160" t="s">
        <v>1866</v>
      </c>
      <c r="H132" s="167"/>
      <c r="I132" s="167"/>
      <c r="J132" s="167"/>
      <c r="K132" s="167"/>
      <c r="L132" s="167"/>
      <c r="M132" s="167"/>
      <c r="N132" s="167"/>
      <c r="O132" s="167"/>
      <c r="P132" s="167"/>
      <c r="Q132" s="167"/>
      <c r="R132" s="206"/>
      <c r="S132" s="1074"/>
      <c r="T132" s="677"/>
      <c r="U132" s="120"/>
      <c r="V132" s="120"/>
      <c r="W132" s="45"/>
      <c r="X132" s="45"/>
      <c r="Y132" s="45"/>
      <c r="Z132" s="45"/>
      <c r="AA132" s="47"/>
      <c r="AB132" s="45"/>
      <c r="AC132" s="671"/>
      <c r="AD132" s="54"/>
      <c r="AE132" s="45"/>
      <c r="AF132" s="45"/>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5"/>
      <c r="BW132" s="45"/>
      <c r="BX132" s="45"/>
      <c r="BY132" s="45"/>
      <c r="BZ132" s="45"/>
      <c r="CA132" s="45"/>
      <c r="CB132" s="45"/>
      <c r="CC132" s="45"/>
      <c r="CD132" s="45"/>
      <c r="CE132" s="45"/>
    </row>
    <row r="133" s="155" customFormat="true" ht="5.25" hidden="true" customHeight="true" outlineLevel="0" collapsed="false">
      <c r="A133" s="120"/>
      <c r="B133" s="47"/>
      <c r="C133" s="47"/>
      <c r="D133" s="197"/>
      <c r="E133" s="1075"/>
      <c r="F133" s="1075"/>
      <c r="G133" s="1075"/>
      <c r="H133" s="1075"/>
      <c r="I133" s="1075"/>
      <c r="J133" s="1075"/>
      <c r="K133" s="1075"/>
      <c r="L133" s="1075"/>
      <c r="M133" s="1075"/>
      <c r="N133" s="1075"/>
      <c r="O133" s="1075"/>
      <c r="P133" s="1075"/>
      <c r="Q133" s="544"/>
      <c r="R133" s="1076"/>
      <c r="S133" s="305"/>
      <c r="T133" s="670" t="s">
        <v>633</v>
      </c>
      <c r="U133" s="120" t="n">
        <v>1</v>
      </c>
      <c r="V133" s="120" t="s">
        <v>596</v>
      </c>
      <c r="W133" s="47"/>
      <c r="X133" s="47"/>
      <c r="Y133" s="47"/>
      <c r="Z133" s="47"/>
      <c r="AA133" s="47"/>
      <c r="AB133" s="47"/>
      <c r="AC133" s="107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row>
    <row r="134" s="155" customFormat="true" ht="5.25" hidden="true" customHeight="true" outlineLevel="0" collapsed="false">
      <c r="A134" s="120"/>
      <c r="B134" s="47"/>
      <c r="C134" s="47"/>
      <c r="D134" s="197"/>
      <c r="E134" s="305"/>
      <c r="F134" s="305"/>
      <c r="G134" s="305"/>
      <c r="H134" s="305"/>
      <c r="I134" s="305"/>
      <c r="J134" s="305"/>
      <c r="K134" s="305"/>
      <c r="L134" s="305"/>
      <c r="M134" s="305"/>
      <c r="N134" s="305"/>
      <c r="O134" s="305"/>
      <c r="P134" s="305"/>
      <c r="Q134" s="305"/>
      <c r="R134" s="305"/>
      <c r="S134" s="304"/>
      <c r="T134" s="677"/>
      <c r="U134" s="120"/>
      <c r="V134" s="120"/>
      <c r="W134" s="47"/>
      <c r="X134" s="47"/>
      <c r="Y134" s="47"/>
      <c r="Z134" s="47"/>
      <c r="AA134" s="47"/>
      <c r="AB134" s="47"/>
      <c r="AC134" s="107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row>
    <row r="135" s="155" customFormat="true" ht="5.25" hidden="true" customHeight="true" outlineLevel="0" collapsed="false">
      <c r="A135" s="120"/>
      <c r="B135" s="47"/>
      <c r="C135" s="47"/>
      <c r="D135" s="197"/>
      <c r="E135" s="1078"/>
      <c r="F135" s="1079"/>
      <c r="G135" s="1079"/>
      <c r="H135" s="1080"/>
      <c r="I135" s="1080"/>
      <c r="J135" s="1080"/>
      <c r="K135" s="1080"/>
      <c r="L135" s="1080"/>
      <c r="M135" s="1080"/>
      <c r="N135" s="1080"/>
      <c r="O135" s="1080"/>
      <c r="P135" s="1080"/>
      <c r="Q135" s="1080"/>
      <c r="R135" s="1081"/>
      <c r="S135" s="1082"/>
      <c r="T135" s="677"/>
      <c r="U135" s="120"/>
      <c r="V135" s="120"/>
      <c r="W135" s="47"/>
      <c r="X135" s="47"/>
      <c r="Y135" s="47"/>
      <c r="Z135" s="47"/>
      <c r="AA135" s="47"/>
      <c r="AB135" s="47"/>
      <c r="AC135" s="107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row>
    <row r="136" customFormat="false" ht="17.25" hidden="false" customHeight="true" outlineLevel="0" collapsed="false">
      <c r="D136" s="1083"/>
    </row>
    <row r="137" s="982" customFormat="true" ht="11.25" hidden="false" customHeight="true" outlineLevel="0" collapsed="false">
      <c r="A137" s="982" t="s">
        <v>1868</v>
      </c>
    </row>
    <row r="139" s="53" customFormat="true" ht="45" hidden="false" customHeight="true" outlineLevel="0" collapsed="false">
      <c r="A139" s="44"/>
      <c r="B139" s="45"/>
      <c r="C139" s="156"/>
      <c r="E139" s="1084"/>
      <c r="F139" s="197" t="s">
        <v>117</v>
      </c>
      <c r="G139" s="1085"/>
      <c r="H139" s="420"/>
      <c r="I139" s="1086" t="s">
        <v>117</v>
      </c>
      <c r="J139" s="821" t="s">
        <v>1869</v>
      </c>
      <c r="K139" s="220" t="s">
        <v>567</v>
      </c>
      <c r="L139" s="359" t="s">
        <v>567</v>
      </c>
      <c r="M139" s="359"/>
      <c r="N139" s="220" t="s">
        <v>567</v>
      </c>
      <c r="O139" s="220" t="s">
        <v>567</v>
      </c>
      <c r="P139" s="220" t="s">
        <v>567</v>
      </c>
      <c r="Q139" s="760" t="n">
        <f aca="false">SUM(Q140:Q142)</f>
        <v>0</v>
      </c>
      <c r="R139" s="760" t="n">
        <f aca="false">IF(R136=0,0,(Q136/R136)*100)</f>
        <v>0</v>
      </c>
      <c r="S139" s="287"/>
      <c r="T139" s="670" t="s">
        <v>633</v>
      </c>
    </row>
    <row r="140" s="53" customFormat="true" ht="11.25" hidden="false" customHeight="true" outlineLevel="0" collapsed="false">
      <c r="A140" s="44"/>
      <c r="B140" s="45"/>
      <c r="C140" s="156"/>
      <c r="E140" s="1084"/>
      <c r="F140" s="197"/>
      <c r="G140" s="1085"/>
      <c r="H140" s="133"/>
      <c r="I140" s="994" t="s">
        <v>960</v>
      </c>
      <c r="J140" s="817"/>
      <c r="K140" s="1087"/>
      <c r="L140" s="807"/>
      <c r="M140" s="1088" t="s">
        <v>117</v>
      </c>
      <c r="N140" s="311"/>
      <c r="O140" s="374"/>
      <c r="P140" s="999"/>
      <c r="Q140" s="374"/>
      <c r="R140" s="461" t="n">
        <v>0</v>
      </c>
      <c r="S140" s="287"/>
      <c r="T140" s="670"/>
    </row>
    <row r="141" s="53" customFormat="true" ht="11.25" hidden="false" customHeight="true" outlineLevel="0" collapsed="false">
      <c r="A141" s="44"/>
      <c r="B141" s="45"/>
      <c r="C141" s="156"/>
      <c r="E141" s="1084"/>
      <c r="F141" s="197"/>
      <c r="G141" s="1085"/>
      <c r="H141" s="133"/>
      <c r="I141" s="994"/>
      <c r="J141" s="817"/>
      <c r="K141" s="1087"/>
      <c r="L141" s="1089"/>
      <c r="M141" s="1090"/>
      <c r="N141" s="167" t="s">
        <v>1870</v>
      </c>
      <c r="O141" s="167"/>
      <c r="P141" s="167"/>
      <c r="Q141" s="167"/>
      <c r="R141" s="206"/>
      <c r="S141" s="287"/>
      <c r="T141" s="670"/>
    </row>
    <row r="142" s="53" customFormat="true" ht="11.25" hidden="false" customHeight="true" outlineLevel="0" collapsed="false">
      <c r="A142" s="44"/>
      <c r="B142" s="45"/>
      <c r="C142" s="156"/>
      <c r="E142" s="1084"/>
      <c r="F142" s="197"/>
      <c r="G142" s="1085"/>
      <c r="H142" s="1089"/>
      <c r="I142" s="1090"/>
      <c r="J142" s="167" t="s">
        <v>1871</v>
      </c>
      <c r="K142" s="167"/>
      <c r="L142" s="167"/>
      <c r="M142" s="167"/>
      <c r="N142" s="167"/>
      <c r="O142" s="167"/>
      <c r="P142" s="167"/>
      <c r="Q142" s="167"/>
      <c r="R142" s="206"/>
      <c r="S142" s="287"/>
      <c r="T142" s="670"/>
    </row>
    <row r="147" s="53" customFormat="true" ht="11.25" hidden="false" customHeight="true" outlineLevel="0" collapsed="false">
      <c r="A147" s="44"/>
      <c r="B147" s="45"/>
      <c r="C147" s="156"/>
      <c r="E147" s="1052"/>
      <c r="F147" s="1052"/>
      <c r="G147" s="1052"/>
      <c r="H147" s="133"/>
      <c r="I147" s="994" t="s">
        <v>960</v>
      </c>
      <c r="J147" s="817"/>
      <c r="K147" s="1087"/>
      <c r="L147" s="807"/>
      <c r="M147" s="1088" t="s">
        <v>117</v>
      </c>
      <c r="N147" s="311"/>
      <c r="O147" s="374"/>
      <c r="P147" s="999"/>
      <c r="Q147" s="374"/>
      <c r="R147" s="461" t="n">
        <v>0</v>
      </c>
      <c r="T147" s="670"/>
    </row>
    <row r="148" s="53" customFormat="true" ht="11.25" hidden="false" customHeight="true" outlineLevel="0" collapsed="false">
      <c r="A148" s="44"/>
      <c r="B148" s="45"/>
      <c r="C148" s="156"/>
      <c r="E148" s="1052"/>
      <c r="F148" s="1052"/>
      <c r="G148" s="1052"/>
      <c r="H148" s="133"/>
      <c r="I148" s="994"/>
      <c r="J148" s="817"/>
      <c r="K148" s="1087"/>
      <c r="L148" s="1089"/>
      <c r="M148" s="1090"/>
      <c r="N148" s="167" t="s">
        <v>1870</v>
      </c>
      <c r="O148" s="167"/>
      <c r="P148" s="167"/>
      <c r="Q148" s="167"/>
      <c r="R148" s="206"/>
      <c r="T148" s="670"/>
    </row>
    <row r="150" s="53" customFormat="true" ht="11.25" hidden="false" customHeight="true" outlineLevel="0" collapsed="false">
      <c r="A150" s="44"/>
      <c r="B150" s="45"/>
      <c r="C150" s="156"/>
      <c r="E150" s="1091"/>
      <c r="H150" s="1092"/>
      <c r="I150" s="1052"/>
      <c r="J150" s="1054"/>
      <c r="K150" s="1054"/>
      <c r="L150" s="807"/>
      <c r="M150" s="1088" t="s">
        <v>117</v>
      </c>
      <c r="N150" s="311"/>
      <c r="O150" s="374"/>
      <c r="P150" s="999"/>
      <c r="Q150" s="374"/>
      <c r="R150" s="461" t="n">
        <v>0</v>
      </c>
      <c r="T150" s="670"/>
    </row>
    <row r="152" s="982" customFormat="true" ht="17.25" hidden="false" customHeight="true" outlineLevel="0" collapsed="false">
      <c r="A152" s="982" t="s">
        <v>1872</v>
      </c>
    </row>
    <row r="153" customFormat="false" ht="17.25" hidden="false" customHeight="true" outlineLevel="0" collapsed="false">
      <c r="G153" s="1093"/>
      <c r="H153" s="1093"/>
      <c r="I153" s="1093"/>
    </row>
    <row r="154" s="174" customFormat="true" ht="17.25" hidden="false" customHeight="true" outlineLevel="0" collapsed="false">
      <c r="A154" s="222"/>
      <c r="C154" s="116"/>
      <c r="D154" s="219"/>
      <c r="E154" s="224"/>
      <c r="F154" s="225"/>
      <c r="G154" s="1094"/>
      <c r="H154" s="219"/>
      <c r="I154" s="219" t="n">
        <v>1</v>
      </c>
      <c r="J154" s="245"/>
      <c r="K154" s="203" t="s">
        <v>63</v>
      </c>
      <c r="L154" s="197"/>
      <c r="M154" s="197" t="s">
        <v>117</v>
      </c>
      <c r="N154" s="246" t="str">
        <f aca="false">IF(Z154="","",INDEX(TERRITORY_MR_LIST,MATCH(Z154,TERRITORY_LIST_ID,0)))</f>
        <v/>
      </c>
      <c r="O154" s="203" t="s">
        <v>63</v>
      </c>
      <c r="P154" s="197"/>
      <c r="Q154" s="197" t="s">
        <v>117</v>
      </c>
      <c r="R154" s="311"/>
      <c r="S154" s="203" t="s">
        <v>63</v>
      </c>
      <c r="T154" s="197"/>
      <c r="U154" s="197" t="s">
        <v>117</v>
      </c>
      <c r="V154" s="311"/>
      <c r="W154" s="245"/>
      <c r="Y154" s="233"/>
      <c r="Z154" s="233"/>
      <c r="AA154" s="233"/>
      <c r="AB154" s="233"/>
      <c r="AC154" s="233"/>
      <c r="AD154" s="233"/>
      <c r="AE154" s="233"/>
      <c r="AF154" s="233"/>
      <c r="AG154" s="233"/>
      <c r="AH154" s="233"/>
      <c r="AI154" s="233"/>
      <c r="AJ154" s="233"/>
      <c r="AK154" s="233"/>
      <c r="AL154" s="52"/>
      <c r="AM154" s="52"/>
      <c r="AN154" s="233"/>
      <c r="AO154" s="233"/>
      <c r="AP154" s="233"/>
      <c r="AQ154" s="233"/>
    </row>
    <row r="155" s="174" customFormat="true" ht="17.25" hidden="false" customHeight="true" outlineLevel="0" collapsed="false">
      <c r="A155" s="222"/>
      <c r="D155" s="219"/>
      <c r="E155" s="224"/>
      <c r="F155" s="225"/>
      <c r="G155" s="1094"/>
      <c r="H155" s="219"/>
      <c r="I155" s="219"/>
      <c r="J155" s="245"/>
      <c r="K155" s="203"/>
      <c r="L155" s="197"/>
      <c r="M155" s="197"/>
      <c r="N155" s="246"/>
      <c r="O155" s="203"/>
      <c r="P155" s="197"/>
      <c r="Q155" s="197"/>
      <c r="R155" s="311"/>
      <c r="S155" s="203"/>
      <c r="T155" s="252"/>
      <c r="U155" s="253"/>
      <c r="V155" s="253" t="s">
        <v>430</v>
      </c>
      <c r="W155" s="256"/>
      <c r="Y155" s="95"/>
      <c r="Z155" s="95"/>
      <c r="AA155" s="95"/>
      <c r="AB155" s="95"/>
      <c r="AC155" s="95"/>
      <c r="AD155" s="95"/>
      <c r="AE155" s="95"/>
      <c r="AF155" s="95"/>
      <c r="AG155" s="95"/>
      <c r="AH155" s="95"/>
      <c r="AI155" s="95"/>
      <c r="AJ155" s="95"/>
      <c r="AK155" s="95"/>
    </row>
    <row r="156" s="174" customFormat="true" ht="17.25" hidden="false" customHeight="true" outlineLevel="0" collapsed="false">
      <c r="A156" s="222"/>
      <c r="D156" s="219"/>
      <c r="E156" s="224"/>
      <c r="F156" s="225"/>
      <c r="G156" s="1094"/>
      <c r="H156" s="219"/>
      <c r="I156" s="219"/>
      <c r="J156" s="245"/>
      <c r="K156" s="203"/>
      <c r="L156" s="197"/>
      <c r="M156" s="197"/>
      <c r="N156" s="246"/>
      <c r="O156" s="203"/>
      <c r="P156" s="252"/>
      <c r="Q156" s="253"/>
      <c r="R156" s="253" t="s">
        <v>261</v>
      </c>
      <c r="S156" s="254"/>
      <c r="T156" s="254"/>
      <c r="U156" s="254"/>
      <c r="V156" s="254"/>
      <c r="W156" s="256"/>
      <c r="Y156" s="95"/>
      <c r="Z156" s="95"/>
      <c r="AA156" s="95"/>
      <c r="AB156" s="95"/>
      <c r="AC156" s="95"/>
      <c r="AD156" s="95"/>
      <c r="AE156" s="95"/>
      <c r="AF156" s="95"/>
      <c r="AG156" s="95"/>
      <c r="AH156" s="95"/>
      <c r="AI156" s="95"/>
      <c r="AJ156" s="95"/>
      <c r="AK156" s="95"/>
    </row>
    <row r="157" s="174" customFormat="true" ht="17.25" hidden="false" customHeight="true" outlineLevel="0" collapsed="false">
      <c r="A157" s="222"/>
      <c r="D157" s="219"/>
      <c r="E157" s="224"/>
      <c r="F157" s="225"/>
      <c r="G157" s="1094"/>
      <c r="H157" s="219"/>
      <c r="I157" s="219"/>
      <c r="J157" s="245"/>
      <c r="K157" s="203"/>
      <c r="L157" s="252"/>
      <c r="M157" s="253"/>
      <c r="N157" s="253" t="s">
        <v>268</v>
      </c>
      <c r="O157" s="253"/>
      <c r="P157" s="253"/>
      <c r="Q157" s="253"/>
      <c r="R157" s="253"/>
      <c r="S157" s="254"/>
      <c r="T157" s="254"/>
      <c r="U157" s="254"/>
      <c r="V157" s="254"/>
      <c r="W157" s="256"/>
      <c r="Y157" s="95"/>
      <c r="Z157" s="95"/>
      <c r="AA157" s="95"/>
      <c r="AB157" s="95"/>
      <c r="AC157" s="95"/>
      <c r="AD157" s="95"/>
      <c r="AE157" s="95"/>
      <c r="AF157" s="95"/>
      <c r="AG157" s="95"/>
      <c r="AH157" s="95"/>
      <c r="AI157" s="95"/>
      <c r="AJ157" s="95"/>
      <c r="AK157" s="95"/>
    </row>
    <row r="158" s="174" customFormat="true" ht="17.25" hidden="false" customHeight="true" outlineLevel="0" collapsed="false">
      <c r="A158" s="222"/>
      <c r="D158" s="219"/>
      <c r="E158" s="224"/>
      <c r="F158" s="225"/>
      <c r="G158" s="1094"/>
      <c r="H158" s="252"/>
      <c r="I158" s="253"/>
      <c r="J158" s="253" t="s">
        <v>269</v>
      </c>
      <c r="K158" s="253"/>
      <c r="L158" s="253"/>
      <c r="M158" s="253"/>
      <c r="N158" s="253"/>
      <c r="O158" s="253"/>
      <c r="P158" s="253"/>
      <c r="Q158" s="253"/>
      <c r="R158" s="253"/>
      <c r="S158" s="254"/>
      <c r="T158" s="254"/>
      <c r="U158" s="254"/>
      <c r="V158" s="254"/>
      <c r="W158" s="256"/>
      <c r="Y158" s="95"/>
      <c r="Z158" s="95"/>
      <c r="AA158" s="95"/>
      <c r="AB158" s="95"/>
      <c r="AC158" s="95"/>
      <c r="AD158" s="95"/>
      <c r="AE158" s="95"/>
      <c r="AF158" s="95"/>
      <c r="AG158" s="95"/>
      <c r="AH158" s="95"/>
      <c r="AI158" s="95"/>
      <c r="AJ158" s="95"/>
      <c r="AK158" s="95"/>
    </row>
    <row r="159" customFormat="false" ht="17.25" hidden="false" customHeight="true" outlineLevel="0" collapsed="false">
      <c r="G159" s="1093"/>
      <c r="H159" s="1093"/>
      <c r="I159" s="1093"/>
    </row>
    <row r="160" s="174" customFormat="true" ht="17.25" hidden="false" customHeight="true" outlineLevel="0" collapsed="false">
      <c r="A160" s="222"/>
      <c r="C160" s="116"/>
      <c r="D160" s="1052"/>
      <c r="E160" s="1095"/>
      <c r="F160" s="1096"/>
      <c r="G160" s="1097"/>
      <c r="H160" s="219"/>
      <c r="I160" s="219" t="n">
        <v>1</v>
      </c>
      <c r="J160" s="245"/>
      <c r="K160" s="203" t="s">
        <v>63</v>
      </c>
      <c r="L160" s="197"/>
      <c r="M160" s="197" t="s">
        <v>117</v>
      </c>
      <c r="N160" s="246" t="str">
        <f aca="false">IF(Z160="","",INDEX(TERRITORY_MR_LIST,MATCH(Z160,TERRITORY_LIST_ID,0)))</f>
        <v/>
      </c>
      <c r="O160" s="203" t="s">
        <v>63</v>
      </c>
      <c r="P160" s="197"/>
      <c r="Q160" s="197" t="s">
        <v>117</v>
      </c>
      <c r="R160" s="311"/>
      <c r="S160" s="203" t="s">
        <v>63</v>
      </c>
      <c r="T160" s="197"/>
      <c r="U160" s="197" t="s">
        <v>117</v>
      </c>
      <c r="V160" s="311"/>
      <c r="W160" s="245"/>
      <c r="Y160" s="233"/>
      <c r="Z160" s="233"/>
      <c r="AA160" s="233"/>
      <c r="AB160" s="233"/>
      <c r="AC160" s="233"/>
      <c r="AD160" s="233"/>
      <c r="AE160" s="233"/>
      <c r="AF160" s="233"/>
      <c r="AG160" s="233"/>
      <c r="AH160" s="233"/>
      <c r="AI160" s="233"/>
      <c r="AJ160" s="233"/>
      <c r="AK160" s="233"/>
      <c r="AL160" s="52"/>
      <c r="AM160" s="52"/>
      <c r="AN160" s="233"/>
      <c r="AO160" s="233"/>
      <c r="AP160" s="233"/>
      <c r="AQ160" s="233"/>
    </row>
    <row r="161" s="174" customFormat="true" ht="17.25" hidden="false" customHeight="true" outlineLevel="0" collapsed="false">
      <c r="A161" s="222"/>
      <c r="D161" s="1052"/>
      <c r="E161" s="1095"/>
      <c r="F161" s="1096"/>
      <c r="G161" s="1097"/>
      <c r="H161" s="219"/>
      <c r="I161" s="219"/>
      <c r="J161" s="245"/>
      <c r="K161" s="203"/>
      <c r="L161" s="197"/>
      <c r="M161" s="197"/>
      <c r="N161" s="246"/>
      <c r="O161" s="203"/>
      <c r="P161" s="197"/>
      <c r="Q161" s="197"/>
      <c r="R161" s="311"/>
      <c r="S161" s="203"/>
      <c r="T161" s="252"/>
      <c r="U161" s="253"/>
      <c r="V161" s="253" t="s">
        <v>430</v>
      </c>
      <c r="W161" s="256"/>
      <c r="Y161" s="95"/>
      <c r="Z161" s="95"/>
      <c r="AA161" s="95"/>
      <c r="AB161" s="95"/>
      <c r="AC161" s="95"/>
      <c r="AD161" s="95"/>
      <c r="AE161" s="95"/>
      <c r="AF161" s="95"/>
      <c r="AG161" s="95"/>
      <c r="AH161" s="95"/>
      <c r="AI161" s="95"/>
      <c r="AJ161" s="95"/>
      <c r="AK161" s="95"/>
    </row>
    <row r="162" s="174" customFormat="true" ht="17.25" hidden="false" customHeight="true" outlineLevel="0" collapsed="false">
      <c r="A162" s="222"/>
      <c r="D162" s="1052"/>
      <c r="E162" s="1095"/>
      <c r="F162" s="1096"/>
      <c r="G162" s="1097"/>
      <c r="H162" s="219"/>
      <c r="I162" s="219"/>
      <c r="J162" s="245"/>
      <c r="K162" s="203"/>
      <c r="L162" s="197"/>
      <c r="M162" s="197"/>
      <c r="N162" s="246"/>
      <c r="O162" s="203"/>
      <c r="P162" s="252"/>
      <c r="Q162" s="253"/>
      <c r="R162" s="253" t="s">
        <v>261</v>
      </c>
      <c r="S162" s="254"/>
      <c r="T162" s="254"/>
      <c r="U162" s="254"/>
      <c r="V162" s="254"/>
      <c r="W162" s="256"/>
      <c r="Y162" s="95"/>
      <c r="Z162" s="95"/>
      <c r="AA162" s="95"/>
      <c r="AB162" s="95"/>
      <c r="AC162" s="95"/>
      <c r="AD162" s="95"/>
      <c r="AE162" s="95"/>
      <c r="AF162" s="95"/>
      <c r="AG162" s="95"/>
      <c r="AH162" s="95"/>
      <c r="AI162" s="95"/>
      <c r="AJ162" s="95"/>
      <c r="AK162" s="95"/>
    </row>
    <row r="163" s="174" customFormat="true" ht="17.25" hidden="false" customHeight="true" outlineLevel="0" collapsed="false">
      <c r="A163" s="222"/>
      <c r="D163" s="1052"/>
      <c r="E163" s="1095"/>
      <c r="F163" s="1096"/>
      <c r="G163" s="1097"/>
      <c r="H163" s="219"/>
      <c r="I163" s="219"/>
      <c r="J163" s="245"/>
      <c r="K163" s="203"/>
      <c r="L163" s="252"/>
      <c r="M163" s="253"/>
      <c r="N163" s="253" t="s">
        <v>268</v>
      </c>
      <c r="O163" s="253"/>
      <c r="P163" s="253"/>
      <c r="Q163" s="253"/>
      <c r="R163" s="253"/>
      <c r="S163" s="254"/>
      <c r="T163" s="254"/>
      <c r="U163" s="254"/>
      <c r="V163" s="254"/>
      <c r="W163" s="256"/>
      <c r="Y163" s="95"/>
      <c r="Z163" s="95"/>
      <c r="AA163" s="95"/>
      <c r="AB163" s="95"/>
      <c r="AC163" s="95"/>
      <c r="AD163" s="95"/>
      <c r="AE163" s="95"/>
      <c r="AF163" s="95"/>
      <c r="AG163" s="95"/>
      <c r="AH163" s="95"/>
      <c r="AI163" s="95"/>
      <c r="AJ163" s="95"/>
      <c r="AK163" s="95"/>
    </row>
    <row r="164" customFormat="false" ht="17.25" hidden="false" customHeight="true" outlineLevel="0" collapsed="false">
      <c r="G164" s="1093"/>
      <c r="H164" s="1093"/>
      <c r="I164" s="1093"/>
    </row>
    <row r="165" s="174" customFormat="true" ht="17.25" hidden="false" customHeight="true" outlineLevel="0" collapsed="false">
      <c r="A165" s="222"/>
      <c r="C165" s="116"/>
      <c r="D165" s="1052"/>
      <c r="E165" s="1095"/>
      <c r="F165" s="1096"/>
      <c r="G165" s="1097"/>
      <c r="H165" s="1052"/>
      <c r="I165" s="1052"/>
      <c r="J165" s="1098"/>
      <c r="K165" s="1099"/>
      <c r="L165" s="197"/>
      <c r="M165" s="197" t="s">
        <v>117</v>
      </c>
      <c r="N165" s="246" t="str">
        <f aca="false">IF(Z165="","",INDEX(TERRITORY_MR_LIST,MATCH(Z165,TERRITORY_LIST_ID,0)))</f>
        <v/>
      </c>
      <c r="O165" s="203" t="s">
        <v>63</v>
      </c>
      <c r="P165" s="197"/>
      <c r="Q165" s="197" t="s">
        <v>117</v>
      </c>
      <c r="R165" s="311"/>
      <c r="S165" s="203" t="s">
        <v>63</v>
      </c>
      <c r="T165" s="197"/>
      <c r="U165" s="197" t="s">
        <v>117</v>
      </c>
      <c r="V165" s="311"/>
      <c r="W165" s="245"/>
      <c r="Y165" s="233"/>
      <c r="Z165" s="233"/>
      <c r="AA165" s="233"/>
      <c r="AB165" s="233"/>
      <c r="AC165" s="233"/>
      <c r="AD165" s="233"/>
      <c r="AE165" s="233"/>
      <c r="AF165" s="233"/>
      <c r="AG165" s="233"/>
      <c r="AH165" s="233"/>
      <c r="AI165" s="233"/>
      <c r="AJ165" s="233"/>
      <c r="AK165" s="233"/>
      <c r="AL165" s="52"/>
      <c r="AM165" s="52"/>
      <c r="AN165" s="233"/>
      <c r="AO165" s="233"/>
      <c r="AP165" s="233"/>
      <c r="AQ165" s="233"/>
    </row>
    <row r="166" s="174" customFormat="true" ht="17.25" hidden="false" customHeight="true" outlineLevel="0" collapsed="false">
      <c r="A166" s="222"/>
      <c r="D166" s="1052"/>
      <c r="E166" s="1095"/>
      <c r="F166" s="1096"/>
      <c r="G166" s="1097"/>
      <c r="H166" s="1052"/>
      <c r="I166" s="1052"/>
      <c r="J166" s="1098"/>
      <c r="K166" s="1099"/>
      <c r="L166" s="197"/>
      <c r="M166" s="197"/>
      <c r="N166" s="246"/>
      <c r="O166" s="203"/>
      <c r="P166" s="197"/>
      <c r="Q166" s="197"/>
      <c r="R166" s="311"/>
      <c r="S166" s="203"/>
      <c r="T166" s="252"/>
      <c r="U166" s="253"/>
      <c r="V166" s="253" t="s">
        <v>430</v>
      </c>
      <c r="W166" s="256"/>
      <c r="Y166" s="95"/>
      <c r="Z166" s="95"/>
      <c r="AA166" s="95"/>
      <c r="AB166" s="95"/>
      <c r="AC166" s="95"/>
      <c r="AD166" s="95"/>
      <c r="AE166" s="95"/>
      <c r="AF166" s="95"/>
      <c r="AG166" s="95"/>
      <c r="AH166" s="95"/>
      <c r="AI166" s="95"/>
      <c r="AJ166" s="95"/>
      <c r="AK166" s="95"/>
    </row>
    <row r="167" s="174" customFormat="true" ht="17.25" hidden="false" customHeight="true" outlineLevel="0" collapsed="false">
      <c r="A167" s="222"/>
      <c r="D167" s="1052"/>
      <c r="E167" s="1095"/>
      <c r="F167" s="1096"/>
      <c r="G167" s="1097"/>
      <c r="H167" s="1052"/>
      <c r="I167" s="1052"/>
      <c r="J167" s="1098"/>
      <c r="K167" s="1099"/>
      <c r="L167" s="197"/>
      <c r="M167" s="197"/>
      <c r="N167" s="246"/>
      <c r="O167" s="203"/>
      <c r="P167" s="252"/>
      <c r="Q167" s="253"/>
      <c r="R167" s="253" t="s">
        <v>261</v>
      </c>
      <c r="S167" s="254"/>
      <c r="T167" s="254"/>
      <c r="U167" s="254"/>
      <c r="V167" s="254"/>
      <c r="W167" s="256"/>
      <c r="Y167" s="95"/>
      <c r="Z167" s="95"/>
      <c r="AA167" s="95"/>
      <c r="AB167" s="95"/>
      <c r="AC167" s="95"/>
      <c r="AD167" s="95"/>
      <c r="AE167" s="95"/>
      <c r="AF167" s="95"/>
      <c r="AG167" s="95"/>
      <c r="AH167" s="95"/>
      <c r="AI167" s="95"/>
      <c r="AJ167" s="95"/>
      <c r="AK167" s="95"/>
    </row>
    <row r="168" customFormat="false" ht="17.25" hidden="false" customHeight="true" outlineLevel="0" collapsed="false">
      <c r="G168" s="1093"/>
      <c r="H168" s="1093"/>
      <c r="I168" s="1093"/>
    </row>
    <row r="169" s="174" customFormat="true" ht="17.25" hidden="false" customHeight="true" outlineLevel="0" collapsed="false">
      <c r="A169" s="222"/>
      <c r="C169" s="116"/>
      <c r="D169" s="1052"/>
      <c r="E169" s="1095"/>
      <c r="F169" s="1096"/>
      <c r="G169" s="1097"/>
      <c r="H169" s="1052"/>
      <c r="I169" s="1052"/>
      <c r="J169" s="1098"/>
      <c r="K169" s="1099"/>
      <c r="L169" s="1100"/>
      <c r="M169" s="1100"/>
      <c r="N169" s="1101"/>
      <c r="O169" s="1102"/>
      <c r="P169" s="197"/>
      <c r="Q169" s="197" t="s">
        <v>117</v>
      </c>
      <c r="R169" s="311"/>
      <c r="S169" s="203" t="s">
        <v>63</v>
      </c>
      <c r="T169" s="197"/>
      <c r="U169" s="197" t="s">
        <v>117</v>
      </c>
      <c r="V169" s="311"/>
      <c r="W169" s="245"/>
      <c r="Y169" s="233"/>
      <c r="Z169" s="233"/>
      <c r="AA169" s="233"/>
      <c r="AB169" s="233"/>
      <c r="AC169" s="233"/>
      <c r="AD169" s="233"/>
      <c r="AE169" s="233"/>
      <c r="AF169" s="233"/>
      <c r="AG169" s="233"/>
      <c r="AH169" s="233"/>
      <c r="AI169" s="233"/>
      <c r="AJ169" s="233"/>
      <c r="AK169" s="233"/>
      <c r="AL169" s="52"/>
      <c r="AM169" s="52"/>
      <c r="AN169" s="233"/>
      <c r="AO169" s="233"/>
      <c r="AP169" s="233"/>
      <c r="AQ169" s="233"/>
    </row>
    <row r="170" s="174" customFormat="true" ht="17.25" hidden="false" customHeight="true" outlineLevel="0" collapsed="false">
      <c r="A170" s="222"/>
      <c r="D170" s="1052"/>
      <c r="E170" s="1095"/>
      <c r="F170" s="1096"/>
      <c r="G170" s="1097"/>
      <c r="H170" s="1052"/>
      <c r="I170" s="1052"/>
      <c r="J170" s="1098"/>
      <c r="K170" s="1099"/>
      <c r="L170" s="1100"/>
      <c r="M170" s="1100"/>
      <c r="N170" s="1101"/>
      <c r="O170" s="1102"/>
      <c r="P170" s="197"/>
      <c r="Q170" s="197"/>
      <c r="R170" s="311"/>
      <c r="S170" s="203"/>
      <c r="T170" s="252"/>
      <c r="U170" s="253"/>
      <c r="V170" s="253" t="s">
        <v>430</v>
      </c>
      <c r="W170" s="256"/>
      <c r="Y170" s="95"/>
      <c r="Z170" s="95"/>
      <c r="AA170" s="95"/>
      <c r="AB170" s="95"/>
      <c r="AC170" s="95"/>
      <c r="AD170" s="95"/>
      <c r="AE170" s="95"/>
      <c r="AF170" s="95"/>
      <c r="AG170" s="95"/>
      <c r="AH170" s="95"/>
      <c r="AI170" s="95"/>
      <c r="AJ170" s="95"/>
      <c r="AK170" s="95"/>
    </row>
    <row r="171" customFormat="false" ht="17.25" hidden="false" customHeight="true" outlineLevel="0" collapsed="false">
      <c r="G171" s="1093"/>
      <c r="H171" s="1093"/>
      <c r="I171" s="1093"/>
    </row>
    <row r="172" s="174" customFormat="true" ht="17.25" hidden="false" customHeight="true" outlineLevel="0" collapsed="false">
      <c r="A172" s="222"/>
      <c r="C172" s="116"/>
      <c r="D172" s="1052"/>
      <c r="E172" s="1095"/>
      <c r="F172" s="1096"/>
      <c r="G172" s="1097"/>
      <c r="H172" s="1100"/>
      <c r="I172" s="1100"/>
      <c r="J172" s="1103"/>
      <c r="K172" s="1097"/>
      <c r="L172" s="1100"/>
      <c r="M172" s="1100"/>
      <c r="N172" s="1097"/>
      <c r="O172" s="1097"/>
      <c r="P172" s="1100"/>
      <c r="Q172" s="1100"/>
      <c r="R172" s="1104"/>
      <c r="S172" s="1097"/>
      <c r="T172" s="197"/>
      <c r="U172" s="197" t="s">
        <v>117</v>
      </c>
      <c r="V172" s="311"/>
      <c r="W172" s="245"/>
      <c r="Y172" s="233"/>
      <c r="Z172" s="233"/>
      <c r="AA172" s="233"/>
      <c r="AB172" s="233"/>
      <c r="AC172" s="233"/>
      <c r="AD172" s="233"/>
      <c r="AE172" s="233"/>
      <c r="AF172" s="233"/>
      <c r="AG172" s="233"/>
      <c r="AH172" s="233"/>
      <c r="AI172" s="233"/>
      <c r="AJ172" s="233"/>
      <c r="AK172" s="233"/>
      <c r="AL172" s="52"/>
      <c r="AM172" s="52"/>
      <c r="AN172" s="233"/>
      <c r="AO172" s="233"/>
      <c r="AP172" s="233"/>
      <c r="AQ172" s="233"/>
    </row>
    <row r="174" s="982" customFormat="true" ht="17.25" hidden="false" customHeight="true" outlineLevel="0" collapsed="false">
      <c r="A174" s="982" t="s">
        <v>1873</v>
      </c>
    </row>
    <row r="175" customFormat="false" ht="17.25" hidden="false" customHeight="true" outlineLevel="0" collapsed="false">
      <c r="G175" s="1093"/>
      <c r="H175" s="1093"/>
      <c r="I175" s="1093"/>
    </row>
    <row r="176" s="174" customFormat="true" ht="17.25" hidden="false" customHeight="true" outlineLevel="0" collapsed="false">
      <c r="A176" s="222"/>
      <c r="C176" s="116"/>
      <c r="D176" s="219"/>
      <c r="E176" s="224"/>
      <c r="F176" s="225"/>
      <c r="G176" s="1094"/>
      <c r="H176" s="219"/>
      <c r="I176" s="219" t="n">
        <v>1</v>
      </c>
      <c r="J176" s="245"/>
      <c r="K176" s="203" t="s">
        <v>63</v>
      </c>
      <c r="L176" s="197"/>
      <c r="M176" s="197" t="s">
        <v>117</v>
      </c>
      <c r="N176" s="246" t="str">
        <f aca="false">IF(Z176="","",INDEX(TERRITORY_MR_LIST,MATCH(Z176,TERRITORY_LIST_ID,0)))</f>
        <v/>
      </c>
      <c r="O176" s="203" t="s">
        <v>63</v>
      </c>
      <c r="P176" s="197"/>
      <c r="Q176" s="197" t="s">
        <v>117</v>
      </c>
      <c r="R176" s="311"/>
      <c r="S176" s="248" t="s">
        <v>53</v>
      </c>
      <c r="T176" s="248"/>
      <c r="U176" s="248" t="s">
        <v>117</v>
      </c>
      <c r="V176" s="249"/>
      <c r="W176" s="245"/>
      <c r="Y176" s="233"/>
      <c r="Z176" s="233"/>
      <c r="AA176" s="233"/>
      <c r="AB176" s="233"/>
      <c r="AC176" s="233"/>
      <c r="AD176" s="233"/>
      <c r="AE176" s="233"/>
      <c r="AF176" s="233"/>
      <c r="AG176" s="233"/>
      <c r="AH176" s="233"/>
      <c r="AI176" s="233"/>
      <c r="AJ176" s="233"/>
      <c r="AK176" s="233"/>
      <c r="AL176" s="52"/>
      <c r="AM176" s="52"/>
      <c r="AN176" s="233"/>
      <c r="AO176" s="233"/>
      <c r="AP176" s="233"/>
      <c r="AQ176" s="233"/>
    </row>
    <row r="177" s="174" customFormat="true" ht="17.25" hidden="false" customHeight="true" outlineLevel="0" collapsed="false">
      <c r="A177" s="222"/>
      <c r="D177" s="219"/>
      <c r="E177" s="224"/>
      <c r="F177" s="225"/>
      <c r="G177" s="1094"/>
      <c r="H177" s="219"/>
      <c r="I177" s="219"/>
      <c r="J177" s="245"/>
      <c r="K177" s="203"/>
      <c r="L177" s="197"/>
      <c r="M177" s="197"/>
      <c r="N177" s="246"/>
      <c r="O177" s="203"/>
      <c r="P177" s="197"/>
      <c r="Q177" s="197"/>
      <c r="R177" s="311"/>
      <c r="S177" s="248"/>
      <c r="T177" s="250"/>
      <c r="U177" s="251"/>
      <c r="V177" s="251"/>
      <c r="W177" s="245"/>
      <c r="Y177" s="95"/>
      <c r="Z177" s="95"/>
      <c r="AA177" s="95"/>
      <c r="AB177" s="95"/>
      <c r="AC177" s="95"/>
      <c r="AD177" s="95"/>
      <c r="AE177" s="95"/>
      <c r="AF177" s="95"/>
      <c r="AG177" s="95"/>
      <c r="AH177" s="95"/>
      <c r="AI177" s="95"/>
      <c r="AJ177" s="95"/>
      <c r="AK177" s="95"/>
    </row>
    <row r="178" s="174" customFormat="true" ht="17.25" hidden="false" customHeight="true" outlineLevel="0" collapsed="false">
      <c r="A178" s="222"/>
      <c r="D178" s="219"/>
      <c r="E178" s="224"/>
      <c r="F178" s="225"/>
      <c r="G178" s="1094"/>
      <c r="H178" s="219"/>
      <c r="I178" s="219"/>
      <c r="J178" s="245"/>
      <c r="K178" s="203"/>
      <c r="L178" s="197"/>
      <c r="M178" s="197"/>
      <c r="N178" s="246"/>
      <c r="O178" s="203"/>
      <c r="P178" s="252"/>
      <c r="Q178" s="253"/>
      <c r="R178" s="253" t="s">
        <v>261</v>
      </c>
      <c r="S178" s="254"/>
      <c r="T178" s="254"/>
      <c r="U178" s="254"/>
      <c r="V178" s="254"/>
      <c r="W178" s="255"/>
      <c r="Y178" s="95"/>
      <c r="Z178" s="95"/>
      <c r="AA178" s="95"/>
      <c r="AB178" s="95"/>
      <c r="AC178" s="95"/>
      <c r="AD178" s="95"/>
      <c r="AE178" s="95"/>
      <c r="AF178" s="95"/>
      <c r="AG178" s="95"/>
      <c r="AH178" s="95"/>
      <c r="AI178" s="95"/>
      <c r="AJ178" s="95"/>
      <c r="AK178" s="95"/>
    </row>
    <row r="179" s="174" customFormat="true" ht="17.25" hidden="false" customHeight="true" outlineLevel="0" collapsed="false">
      <c r="A179" s="222"/>
      <c r="D179" s="219"/>
      <c r="E179" s="224"/>
      <c r="F179" s="225"/>
      <c r="G179" s="1094"/>
      <c r="H179" s="219"/>
      <c r="I179" s="219"/>
      <c r="J179" s="245"/>
      <c r="K179" s="203"/>
      <c r="L179" s="252"/>
      <c r="M179" s="253"/>
      <c r="N179" s="253" t="s">
        <v>268</v>
      </c>
      <c r="O179" s="253"/>
      <c r="P179" s="253"/>
      <c r="Q179" s="253"/>
      <c r="R179" s="253"/>
      <c r="S179" s="254"/>
      <c r="T179" s="254"/>
      <c r="U179" s="254"/>
      <c r="V179" s="254"/>
      <c r="W179" s="256"/>
      <c r="Y179" s="95"/>
      <c r="Z179" s="95"/>
      <c r="AA179" s="95"/>
      <c r="AB179" s="95"/>
      <c r="AC179" s="95"/>
      <c r="AD179" s="95"/>
      <c r="AE179" s="95"/>
      <c r="AF179" s="95"/>
      <c r="AG179" s="95"/>
      <c r="AH179" s="95"/>
      <c r="AI179" s="95"/>
      <c r="AJ179" s="95"/>
      <c r="AK179" s="95"/>
    </row>
    <row r="180" s="174" customFormat="true" ht="17.25" hidden="false" customHeight="true" outlineLevel="0" collapsed="false">
      <c r="A180" s="222"/>
      <c r="D180" s="219"/>
      <c r="E180" s="224"/>
      <c r="F180" s="225"/>
      <c r="G180" s="1094"/>
      <c r="H180" s="252"/>
      <c r="I180" s="253"/>
      <c r="J180" s="253" t="s">
        <v>269</v>
      </c>
      <c r="K180" s="253"/>
      <c r="L180" s="253"/>
      <c r="M180" s="253"/>
      <c r="N180" s="253"/>
      <c r="O180" s="253"/>
      <c r="P180" s="253"/>
      <c r="Q180" s="253"/>
      <c r="R180" s="253"/>
      <c r="S180" s="254"/>
      <c r="T180" s="254"/>
      <c r="U180" s="254"/>
      <c r="V180" s="254"/>
      <c r="W180" s="256"/>
      <c r="Y180" s="95"/>
      <c r="Z180" s="95"/>
      <c r="AA180" s="95"/>
      <c r="AB180" s="95"/>
      <c r="AC180" s="95"/>
      <c r="AD180" s="95"/>
      <c r="AE180" s="95"/>
      <c r="AF180" s="95"/>
      <c r="AG180" s="95"/>
      <c r="AH180" s="95"/>
      <c r="AI180" s="95"/>
      <c r="AJ180" s="95"/>
      <c r="AK180" s="95"/>
    </row>
    <row r="181" customFormat="false" ht="17.25" hidden="false" customHeight="true" outlineLevel="0" collapsed="false"/>
    <row r="182" s="174" customFormat="true" ht="17.25" hidden="false" customHeight="true" outlineLevel="0" collapsed="false">
      <c r="A182" s="222"/>
      <c r="C182" s="116"/>
      <c r="D182" s="1052"/>
      <c r="E182" s="1095"/>
      <c r="F182" s="1096"/>
      <c r="G182" s="1097"/>
      <c r="H182" s="219"/>
      <c r="I182" s="219" t="n">
        <v>1</v>
      </c>
      <c r="J182" s="245"/>
      <c r="K182" s="203" t="s">
        <v>63</v>
      </c>
      <c r="L182" s="197"/>
      <c r="M182" s="197" t="s">
        <v>117</v>
      </c>
      <c r="N182" s="246" t="str">
        <f aca="false">IF(Z182="","",INDEX(TERRITORY_MR_LIST,MATCH(Z182,TERRITORY_LIST_ID,0)))</f>
        <v/>
      </c>
      <c r="O182" s="203" t="s">
        <v>63</v>
      </c>
      <c r="P182" s="197"/>
      <c r="Q182" s="197" t="s">
        <v>117</v>
      </c>
      <c r="R182" s="311"/>
      <c r="S182" s="248" t="s">
        <v>53</v>
      </c>
      <c r="T182" s="248"/>
      <c r="U182" s="248" t="s">
        <v>117</v>
      </c>
      <c r="V182" s="249"/>
      <c r="W182" s="245"/>
      <c r="Y182" s="233"/>
      <c r="Z182" s="233"/>
      <c r="AA182" s="233"/>
      <c r="AB182" s="233"/>
      <c r="AC182" s="233"/>
      <c r="AD182" s="233"/>
      <c r="AE182" s="233"/>
      <c r="AF182" s="233"/>
      <c r="AG182" s="233"/>
      <c r="AH182" s="233"/>
      <c r="AI182" s="233"/>
      <c r="AJ182" s="233"/>
      <c r="AK182" s="233"/>
      <c r="AL182" s="52"/>
      <c r="AM182" s="52"/>
      <c r="AN182" s="233"/>
      <c r="AO182" s="233"/>
      <c r="AP182" s="233"/>
      <c r="AQ182" s="233"/>
    </row>
    <row r="183" s="174" customFormat="true" ht="17.25" hidden="false" customHeight="true" outlineLevel="0" collapsed="false">
      <c r="A183" s="222"/>
      <c r="D183" s="1052"/>
      <c r="E183" s="1095"/>
      <c r="F183" s="1096"/>
      <c r="G183" s="1097"/>
      <c r="H183" s="219"/>
      <c r="I183" s="219"/>
      <c r="J183" s="245"/>
      <c r="K183" s="203"/>
      <c r="L183" s="197"/>
      <c r="M183" s="197"/>
      <c r="N183" s="246"/>
      <c r="O183" s="203"/>
      <c r="P183" s="197"/>
      <c r="Q183" s="197"/>
      <c r="R183" s="311"/>
      <c r="S183" s="248"/>
      <c r="T183" s="250"/>
      <c r="U183" s="251"/>
      <c r="V183" s="251"/>
      <c r="W183" s="245"/>
      <c r="Y183" s="95"/>
      <c r="Z183" s="95"/>
      <c r="AA183" s="95"/>
      <c r="AB183" s="95"/>
      <c r="AC183" s="95"/>
      <c r="AD183" s="95"/>
      <c r="AE183" s="95"/>
      <c r="AF183" s="95"/>
      <c r="AG183" s="95"/>
      <c r="AH183" s="95"/>
      <c r="AI183" s="95"/>
      <c r="AJ183" s="95"/>
      <c r="AK183" s="95"/>
    </row>
    <row r="184" s="174" customFormat="true" ht="17.25" hidden="false" customHeight="true" outlineLevel="0" collapsed="false">
      <c r="A184" s="222"/>
      <c r="D184" s="1052"/>
      <c r="E184" s="1095"/>
      <c r="F184" s="1096"/>
      <c r="G184" s="1097"/>
      <c r="H184" s="219"/>
      <c r="I184" s="219"/>
      <c r="J184" s="245"/>
      <c r="K184" s="203"/>
      <c r="L184" s="197"/>
      <c r="M184" s="197"/>
      <c r="N184" s="246"/>
      <c r="O184" s="203"/>
      <c r="P184" s="252"/>
      <c r="Q184" s="253"/>
      <c r="R184" s="253" t="s">
        <v>261</v>
      </c>
      <c r="S184" s="254"/>
      <c r="T184" s="254"/>
      <c r="U184" s="254"/>
      <c r="V184" s="254"/>
      <c r="W184" s="255"/>
      <c r="Y184" s="95"/>
      <c r="Z184" s="95"/>
      <c r="AA184" s="95"/>
      <c r="AB184" s="95"/>
      <c r="AC184" s="95"/>
      <c r="AD184" s="95"/>
      <c r="AE184" s="95"/>
      <c r="AF184" s="95"/>
      <c r="AG184" s="95"/>
      <c r="AH184" s="95"/>
      <c r="AI184" s="95"/>
      <c r="AJ184" s="95"/>
      <c r="AK184" s="95"/>
    </row>
    <row r="185" s="174" customFormat="true" ht="17.25" hidden="false" customHeight="true" outlineLevel="0" collapsed="false">
      <c r="A185" s="222"/>
      <c r="D185" s="1052"/>
      <c r="E185" s="1095"/>
      <c r="F185" s="1096"/>
      <c r="G185" s="1097"/>
      <c r="H185" s="219"/>
      <c r="I185" s="219"/>
      <c r="J185" s="245"/>
      <c r="K185" s="203"/>
      <c r="L185" s="252"/>
      <c r="M185" s="253"/>
      <c r="N185" s="253" t="s">
        <v>268</v>
      </c>
      <c r="O185" s="253"/>
      <c r="P185" s="253"/>
      <c r="Q185" s="253"/>
      <c r="R185" s="253"/>
      <c r="S185" s="254"/>
      <c r="T185" s="254"/>
      <c r="U185" s="254"/>
      <c r="V185" s="254"/>
      <c r="W185" s="256"/>
      <c r="Y185" s="95"/>
      <c r="Z185" s="95"/>
      <c r="AA185" s="95"/>
      <c r="AB185" s="95"/>
      <c r="AC185" s="95"/>
      <c r="AD185" s="95"/>
      <c r="AE185" s="95"/>
      <c r="AF185" s="95"/>
      <c r="AG185" s="95"/>
      <c r="AH185" s="95"/>
      <c r="AI185" s="95"/>
      <c r="AJ185" s="95"/>
      <c r="AK185" s="95"/>
    </row>
    <row r="186" customFormat="false" ht="17.25" hidden="false" customHeight="true" outlineLevel="0" collapsed="false"/>
    <row r="187" s="174" customFormat="true" ht="17.25" hidden="false" customHeight="true" outlineLevel="0" collapsed="false">
      <c r="A187" s="222"/>
      <c r="C187" s="116"/>
      <c r="D187" s="1052"/>
      <c r="E187" s="1095"/>
      <c r="F187" s="1096"/>
      <c r="G187" s="1097"/>
      <c r="H187" s="1052"/>
      <c r="I187" s="1052"/>
      <c r="J187" s="1105"/>
      <c r="K187" s="1097"/>
      <c r="L187" s="197"/>
      <c r="M187" s="197" t="s">
        <v>117</v>
      </c>
      <c r="N187" s="246" t="str">
        <f aca="false">IF(Z187="","",INDEX(TERRITORY_MR_LIST,MATCH(Z187,TERRITORY_LIST_ID,0)))</f>
        <v/>
      </c>
      <c r="O187" s="203" t="s">
        <v>63</v>
      </c>
      <c r="P187" s="197"/>
      <c r="Q187" s="197" t="s">
        <v>117</v>
      </c>
      <c r="R187" s="311"/>
      <c r="S187" s="248" t="s">
        <v>53</v>
      </c>
      <c r="T187" s="248"/>
      <c r="U187" s="248" t="s">
        <v>117</v>
      </c>
      <c r="V187" s="249"/>
      <c r="W187" s="245"/>
      <c r="Y187" s="233"/>
      <c r="Z187" s="233"/>
      <c r="AA187" s="233"/>
      <c r="AB187" s="233"/>
      <c r="AC187" s="233"/>
      <c r="AD187" s="233"/>
      <c r="AE187" s="233"/>
      <c r="AF187" s="233"/>
      <c r="AG187" s="233"/>
      <c r="AH187" s="233"/>
      <c r="AI187" s="233"/>
      <c r="AJ187" s="233"/>
      <c r="AK187" s="233"/>
      <c r="AL187" s="52"/>
      <c r="AM187" s="52"/>
      <c r="AN187" s="233"/>
      <c r="AO187" s="233"/>
      <c r="AP187" s="233"/>
      <c r="AQ187" s="233"/>
    </row>
    <row r="188" s="174" customFormat="true" ht="17.25" hidden="false" customHeight="true" outlineLevel="0" collapsed="false">
      <c r="A188" s="222"/>
      <c r="D188" s="1052"/>
      <c r="E188" s="1095"/>
      <c r="F188" s="1096"/>
      <c r="G188" s="1097"/>
      <c r="H188" s="1052"/>
      <c r="I188" s="1052"/>
      <c r="J188" s="1105"/>
      <c r="K188" s="1097"/>
      <c r="L188" s="197"/>
      <c r="M188" s="197"/>
      <c r="N188" s="246"/>
      <c r="O188" s="203"/>
      <c r="P188" s="197"/>
      <c r="Q188" s="197"/>
      <c r="R188" s="311"/>
      <c r="S188" s="248"/>
      <c r="T188" s="250"/>
      <c r="U188" s="251"/>
      <c r="V188" s="251"/>
      <c r="W188" s="245"/>
      <c r="Y188" s="95"/>
      <c r="Z188" s="95"/>
      <c r="AA188" s="95"/>
      <c r="AB188" s="95"/>
      <c r="AC188" s="95"/>
      <c r="AD188" s="95"/>
      <c r="AE188" s="95"/>
      <c r="AF188" s="95"/>
      <c r="AG188" s="95"/>
      <c r="AH188" s="95"/>
      <c r="AI188" s="95"/>
      <c r="AJ188" s="95"/>
      <c r="AK188" s="95"/>
    </row>
    <row r="189" s="174" customFormat="true" ht="17.25" hidden="false" customHeight="true" outlineLevel="0" collapsed="false">
      <c r="A189" s="222"/>
      <c r="D189" s="1052"/>
      <c r="E189" s="1095"/>
      <c r="F189" s="1096"/>
      <c r="G189" s="1097"/>
      <c r="H189" s="1052"/>
      <c r="I189" s="1052"/>
      <c r="J189" s="1105"/>
      <c r="K189" s="1097"/>
      <c r="L189" s="197"/>
      <c r="M189" s="197"/>
      <c r="N189" s="246"/>
      <c r="O189" s="203"/>
      <c r="P189" s="252"/>
      <c r="Q189" s="253"/>
      <c r="R189" s="253" t="s">
        <v>261</v>
      </c>
      <c r="S189" s="254"/>
      <c r="T189" s="254"/>
      <c r="U189" s="254"/>
      <c r="V189" s="254"/>
      <c r="W189" s="255"/>
      <c r="Y189" s="95"/>
      <c r="Z189" s="95"/>
      <c r="AA189" s="95"/>
      <c r="AB189" s="95"/>
      <c r="AC189" s="95"/>
      <c r="AD189" s="95"/>
      <c r="AE189" s="95"/>
      <c r="AF189" s="95"/>
      <c r="AG189" s="95"/>
      <c r="AH189" s="95"/>
      <c r="AI189" s="95"/>
      <c r="AJ189" s="95"/>
      <c r="AK189" s="95"/>
    </row>
    <row r="190" customFormat="false" ht="17.25" hidden="false" customHeight="true" outlineLevel="0" collapsed="false"/>
    <row r="191" s="174" customFormat="true" ht="17.25" hidden="false" customHeight="true" outlineLevel="0" collapsed="false">
      <c r="A191" s="222"/>
      <c r="C191" s="116"/>
      <c r="D191" s="1052"/>
      <c r="E191" s="1095"/>
      <c r="F191" s="1096"/>
      <c r="G191" s="1097"/>
      <c r="H191" s="1052"/>
      <c r="I191" s="1052"/>
      <c r="J191" s="1105"/>
      <c r="K191" s="1097"/>
      <c r="L191" s="1052"/>
      <c r="M191" s="1052"/>
      <c r="N191" s="1101"/>
      <c r="O191" s="1102"/>
      <c r="P191" s="197"/>
      <c r="Q191" s="197" t="s">
        <v>117</v>
      </c>
      <c r="R191" s="311"/>
      <c r="S191" s="248" t="s">
        <v>53</v>
      </c>
      <c r="T191" s="248"/>
      <c r="U191" s="248" t="s">
        <v>117</v>
      </c>
      <c r="V191" s="249"/>
      <c r="W191" s="245"/>
      <c r="Y191" s="233"/>
      <c r="Z191" s="233"/>
      <c r="AA191" s="233"/>
      <c r="AB191" s="233"/>
      <c r="AC191" s="233"/>
      <c r="AD191" s="233"/>
      <c r="AE191" s="233"/>
      <c r="AF191" s="233"/>
      <c r="AG191" s="233"/>
      <c r="AH191" s="233"/>
      <c r="AI191" s="233"/>
      <c r="AJ191" s="233"/>
      <c r="AK191" s="233"/>
      <c r="AL191" s="52"/>
      <c r="AM191" s="52"/>
      <c r="AN191" s="233"/>
      <c r="AO191" s="233"/>
      <c r="AP191" s="233"/>
      <c r="AQ191" s="233"/>
    </row>
    <row r="192" s="174" customFormat="true" ht="17.25" hidden="false" customHeight="true" outlineLevel="0" collapsed="false">
      <c r="A192" s="222"/>
      <c r="D192" s="1052"/>
      <c r="E192" s="1095"/>
      <c r="F192" s="1096"/>
      <c r="G192" s="1097"/>
      <c r="H192" s="1052"/>
      <c r="I192" s="1052"/>
      <c r="J192" s="1105"/>
      <c r="K192" s="1097"/>
      <c r="L192" s="1052"/>
      <c r="M192" s="1052"/>
      <c r="N192" s="1101"/>
      <c r="O192" s="1102"/>
      <c r="P192" s="197"/>
      <c r="Q192" s="197"/>
      <c r="R192" s="311"/>
      <c r="S192" s="248"/>
      <c r="T192" s="250"/>
      <c r="U192" s="251"/>
      <c r="V192" s="251"/>
      <c r="W192" s="245"/>
      <c r="Y192" s="95"/>
      <c r="Z192" s="95"/>
      <c r="AA192" s="95"/>
      <c r="AB192" s="95"/>
      <c r="AC192" s="95"/>
      <c r="AD192" s="95"/>
      <c r="AE192" s="95"/>
      <c r="AF192" s="95"/>
      <c r="AG192" s="95"/>
      <c r="AH192" s="95"/>
      <c r="AI192" s="95"/>
      <c r="AJ192" s="95"/>
      <c r="AK192" s="95"/>
    </row>
    <row r="193" customFormat="false" ht="17.25" hidden="false" customHeight="true" outlineLevel="0" collapsed="false"/>
    <row r="194" customFormat="false" ht="16.5" hidden="false" customHeight="true" outlineLevel="0" collapsed="false">
      <c r="A194" s="222"/>
      <c r="B194" s="174"/>
      <c r="C194" s="174"/>
      <c r="D194" s="219"/>
      <c r="E194" s="287"/>
      <c r="F194" s="287"/>
      <c r="G194" s="133"/>
      <c r="H194" s="226"/>
      <c r="I194" s="227"/>
      <c r="J194" s="228"/>
      <c r="K194" s="229"/>
      <c r="L194" s="229"/>
      <c r="M194" s="229"/>
      <c r="N194" s="230"/>
      <c r="O194" s="229"/>
      <c r="P194" s="229"/>
      <c r="Q194" s="229"/>
      <c r="R194" s="231"/>
      <c r="S194" s="229"/>
      <c r="T194" s="229"/>
      <c r="U194" s="229"/>
      <c r="V194" s="231"/>
      <c r="W194" s="232"/>
    </row>
    <row r="195" customFormat="false" ht="16.5" hidden="false" customHeight="true" outlineLevel="0" collapsed="false">
      <c r="A195" s="222"/>
      <c r="B195" s="174"/>
      <c r="C195" s="174"/>
      <c r="D195" s="219"/>
      <c r="E195" s="287"/>
      <c r="F195" s="287"/>
      <c r="G195" s="133"/>
      <c r="H195" s="226"/>
      <c r="I195" s="227"/>
      <c r="J195" s="228"/>
      <c r="K195" s="229"/>
      <c r="L195" s="229"/>
      <c r="M195" s="229"/>
      <c r="N195" s="230"/>
      <c r="O195" s="229"/>
      <c r="P195" s="229"/>
      <c r="Q195" s="229"/>
      <c r="R195" s="231"/>
      <c r="S195" s="229"/>
      <c r="T195" s="234"/>
      <c r="U195" s="234"/>
      <c r="V195" s="234"/>
      <c r="W195" s="235"/>
    </row>
    <row r="196" customFormat="false" ht="17.25" hidden="false" customHeight="true" outlineLevel="0" collapsed="false">
      <c r="A196" s="222"/>
      <c r="B196" s="174"/>
      <c r="C196" s="174"/>
      <c r="D196" s="219"/>
      <c r="E196" s="287"/>
      <c r="F196" s="287"/>
      <c r="G196" s="133"/>
      <c r="H196" s="226"/>
      <c r="I196" s="227"/>
      <c r="J196" s="228"/>
      <c r="K196" s="229"/>
      <c r="L196" s="229"/>
      <c r="M196" s="229"/>
      <c r="N196" s="230"/>
      <c r="O196" s="229"/>
      <c r="P196" s="113"/>
      <c r="Q196" s="234"/>
      <c r="R196" s="234"/>
      <c r="S196" s="174"/>
      <c r="T196" s="174"/>
      <c r="U196" s="174"/>
      <c r="V196" s="174"/>
      <c r="W196" s="235"/>
    </row>
    <row r="197" customFormat="false" ht="17.25" hidden="false" customHeight="true" outlineLevel="0" collapsed="false">
      <c r="A197" s="222"/>
      <c r="B197" s="174"/>
      <c r="C197" s="174"/>
      <c r="D197" s="219"/>
      <c r="E197" s="287"/>
      <c r="F197" s="287"/>
      <c r="G197" s="133"/>
      <c r="H197" s="226"/>
      <c r="I197" s="227"/>
      <c r="J197" s="228"/>
      <c r="K197" s="229"/>
      <c r="L197" s="234"/>
      <c r="M197" s="234"/>
      <c r="N197" s="234"/>
      <c r="O197" s="234"/>
      <c r="P197" s="234"/>
      <c r="Q197" s="234"/>
      <c r="R197" s="234"/>
      <c r="S197" s="174"/>
      <c r="T197" s="174"/>
      <c r="U197" s="174"/>
      <c r="V197" s="174"/>
      <c r="W197" s="235"/>
    </row>
    <row r="198" customFormat="false" ht="17.25" hidden="false" customHeight="true" outlineLevel="0" collapsed="false">
      <c r="A198" s="222"/>
      <c r="B198" s="174"/>
      <c r="C198" s="174"/>
      <c r="D198" s="219"/>
      <c r="E198" s="287"/>
      <c r="F198" s="287"/>
      <c r="G198" s="133"/>
      <c r="H198" s="236"/>
      <c r="I198" s="237"/>
      <c r="J198" s="237"/>
      <c r="K198" s="237"/>
      <c r="L198" s="237"/>
      <c r="M198" s="237"/>
      <c r="N198" s="237"/>
      <c r="O198" s="237"/>
      <c r="P198" s="237"/>
      <c r="Q198" s="237"/>
      <c r="R198" s="237"/>
      <c r="S198" s="238"/>
      <c r="T198" s="238"/>
      <c r="U198" s="238"/>
      <c r="V198" s="238"/>
      <c r="W198" s="239"/>
    </row>
    <row r="200" s="982" customFormat="true" ht="17.25" hidden="false" customHeight="true" outlineLevel="0" collapsed="false">
      <c r="A200" s="982" t="s">
        <v>1874</v>
      </c>
    </row>
    <row r="201" customFormat="false" ht="17.25" hidden="false" customHeight="true" outlineLevel="0" collapsed="false">
      <c r="G201" s="1093"/>
      <c r="H201" s="1093"/>
      <c r="I201" s="1093"/>
    </row>
    <row r="202" s="53" customFormat="true" ht="15" hidden="false" customHeight="true" outlineLevel="0" collapsed="false">
      <c r="D202" s="1106"/>
      <c r="E202" s="267"/>
      <c r="F202" s="267"/>
      <c r="G202" s="203"/>
      <c r="H202" s="1107"/>
      <c r="I202" s="1108" t="n">
        <v>1</v>
      </c>
      <c r="J202" s="1109"/>
      <c r="K202" s="975"/>
      <c r="L202" s="1110" t="s">
        <v>63</v>
      </c>
      <c r="M202" s="1110" t="s">
        <v>63</v>
      </c>
      <c r="N202" s="1107"/>
      <c r="O202" s="197" t="s">
        <v>117</v>
      </c>
      <c r="P202" s="1111"/>
      <c r="Q202" s="975"/>
      <c r="R202" s="1110" t="s">
        <v>63</v>
      </c>
      <c r="S202" s="1110" t="s">
        <v>63</v>
      </c>
      <c r="T202" s="1112"/>
      <c r="U202" s="197" t="s">
        <v>117</v>
      </c>
      <c r="V202" s="1113" t="str">
        <f aca="false">IF(AK202="","",INDEX(TERRITORY_MR_LIST,MATCH(AK202,TERRITORY_LIST_ID,0)))</f>
        <v/>
      </c>
      <c r="W202" s="204"/>
      <c r="X202" s="1110" t="s">
        <v>63</v>
      </c>
      <c r="Y202" s="1110" t="s">
        <v>53</v>
      </c>
      <c r="Z202" s="1107"/>
      <c r="AA202" s="197" t="s">
        <v>117</v>
      </c>
      <c r="AB202" s="338"/>
      <c r="AC202" s="272"/>
      <c r="AD202" s="203" t="s">
        <v>63</v>
      </c>
      <c r="AE202" s="203" t="s">
        <v>53</v>
      </c>
      <c r="AF202" s="204"/>
      <c r="AG202" s="197" t="s">
        <v>117</v>
      </c>
      <c r="AH202" s="1053"/>
      <c r="AI202" s="245"/>
    </row>
    <row r="203" s="53" customFormat="true" ht="15" hidden="false" customHeight="true" outlineLevel="0" collapsed="false">
      <c r="D203" s="1106"/>
      <c r="E203" s="267"/>
      <c r="F203" s="267"/>
      <c r="G203" s="203"/>
      <c r="H203" s="1107"/>
      <c r="I203" s="1108"/>
      <c r="J203" s="1109"/>
      <c r="K203" s="1114"/>
      <c r="L203" s="1110"/>
      <c r="M203" s="1110"/>
      <c r="N203" s="1107"/>
      <c r="O203" s="197"/>
      <c r="P203" s="1111"/>
      <c r="Q203" s="1115"/>
      <c r="R203" s="1110"/>
      <c r="S203" s="1110"/>
      <c r="T203" s="1112"/>
      <c r="U203" s="197"/>
      <c r="V203" s="1113"/>
      <c r="W203" s="1116"/>
      <c r="X203" s="1110"/>
      <c r="Y203" s="1110"/>
      <c r="Z203" s="1107"/>
      <c r="AA203" s="197"/>
      <c r="AB203" s="338"/>
      <c r="AC203" s="675"/>
      <c r="AD203" s="203"/>
      <c r="AE203" s="203"/>
      <c r="AF203" s="1117"/>
      <c r="AG203" s="252"/>
      <c r="AH203" s="256" t="s">
        <v>1875</v>
      </c>
      <c r="AI203" s="256"/>
    </row>
    <row r="204" s="53" customFormat="true" ht="15" hidden="false" customHeight="true" outlineLevel="0" collapsed="false">
      <c r="D204" s="1106"/>
      <c r="E204" s="267"/>
      <c r="F204" s="267"/>
      <c r="G204" s="203"/>
      <c r="H204" s="1107"/>
      <c r="I204" s="1108"/>
      <c r="J204" s="1109"/>
      <c r="K204" s="1114"/>
      <c r="L204" s="1110"/>
      <c r="M204" s="1110"/>
      <c r="N204" s="1107"/>
      <c r="O204" s="197"/>
      <c r="P204" s="1111"/>
      <c r="Q204" s="1115"/>
      <c r="R204" s="1110"/>
      <c r="S204" s="1110"/>
      <c r="T204" s="1112"/>
      <c r="U204" s="197"/>
      <c r="V204" s="1113"/>
      <c r="W204" s="1116"/>
      <c r="X204" s="1110"/>
      <c r="Y204" s="1110"/>
      <c r="Z204" s="1116"/>
      <c r="AA204" s="1118"/>
      <c r="AB204" s="1119" t="s">
        <v>1876</v>
      </c>
      <c r="AC204" s="1119"/>
      <c r="AD204" s="1119"/>
      <c r="AE204" s="1119"/>
      <c r="AF204" s="1119"/>
      <c r="AG204" s="1119"/>
      <c r="AH204" s="1119"/>
      <c r="AI204" s="1119"/>
    </row>
    <row r="205" s="53" customFormat="true" ht="15" hidden="false" customHeight="true" outlineLevel="0" collapsed="false">
      <c r="D205" s="1106"/>
      <c r="E205" s="267"/>
      <c r="F205" s="267"/>
      <c r="G205" s="203"/>
      <c r="H205" s="1107"/>
      <c r="I205" s="1108"/>
      <c r="J205" s="1109"/>
      <c r="K205" s="1114"/>
      <c r="L205" s="1110"/>
      <c r="M205" s="1110"/>
      <c r="N205" s="1107"/>
      <c r="O205" s="197"/>
      <c r="P205" s="1111"/>
      <c r="Q205" s="1115"/>
      <c r="R205" s="1110"/>
      <c r="S205" s="1110"/>
      <c r="T205" s="1120"/>
      <c r="U205" s="1121"/>
      <c r="V205" s="256" t="s">
        <v>111</v>
      </c>
      <c r="W205" s="256"/>
      <c r="X205" s="256"/>
      <c r="Y205" s="256"/>
      <c r="Z205" s="256"/>
      <c r="AA205" s="256"/>
      <c r="AB205" s="256"/>
      <c r="AC205" s="256"/>
      <c r="AD205" s="256"/>
      <c r="AE205" s="256"/>
      <c r="AF205" s="256"/>
      <c r="AG205" s="256"/>
      <c r="AH205" s="256"/>
      <c r="AI205" s="256"/>
    </row>
    <row r="206" s="53" customFormat="true" ht="11.25" hidden="false" customHeight="true" outlineLevel="0" collapsed="false">
      <c r="D206" s="1106"/>
      <c r="E206" s="267"/>
      <c r="F206" s="267"/>
      <c r="G206" s="203"/>
      <c r="H206" s="1100"/>
      <c r="I206" s="1108"/>
      <c r="J206" s="1109"/>
      <c r="K206" s="1114"/>
      <c r="L206" s="1110"/>
      <c r="M206" s="1110"/>
      <c r="N206" s="1100"/>
      <c r="O206" s="1118"/>
      <c r="P206" s="256" t="s">
        <v>1877</v>
      </c>
      <c r="Q206" s="256"/>
      <c r="R206" s="256"/>
      <c r="S206" s="256"/>
      <c r="T206" s="256"/>
      <c r="U206" s="256"/>
      <c r="V206" s="256"/>
      <c r="W206" s="256"/>
      <c r="X206" s="256"/>
      <c r="Y206" s="256"/>
      <c r="Z206" s="256"/>
      <c r="AA206" s="256"/>
      <c r="AB206" s="256"/>
      <c r="AC206" s="256"/>
      <c r="AD206" s="256"/>
      <c r="AE206" s="256"/>
      <c r="AF206" s="256"/>
      <c r="AG206" s="256"/>
      <c r="AH206" s="256"/>
      <c r="AI206" s="256"/>
    </row>
    <row r="207" s="259" customFormat="true" ht="11.25" hidden="false" customHeight="true" outlineLevel="0" collapsed="false">
      <c r="D207" s="1106"/>
      <c r="E207" s="267"/>
      <c r="F207" s="267"/>
      <c r="G207" s="203"/>
      <c r="H207" s="1122"/>
      <c r="I207" s="1123"/>
      <c r="J207" s="256" t="s">
        <v>269</v>
      </c>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BK207" s="53"/>
    </row>
    <row r="208" customFormat="false" ht="17.25" hidden="false" customHeight="true" outlineLevel="0" collapsed="false">
      <c r="G208" s="1093"/>
      <c r="I208" s="1093"/>
      <c r="J208" s="1093"/>
    </row>
    <row r="209" s="53" customFormat="true" ht="15" hidden="false" customHeight="true" outlineLevel="0" collapsed="false">
      <c r="D209" s="1106"/>
      <c r="E209" s="267"/>
      <c r="F209" s="267"/>
      <c r="G209" s="287"/>
      <c r="H209" s="273"/>
      <c r="I209" s="274"/>
      <c r="J209" s="228"/>
      <c r="K209" s="228"/>
      <c r="L209" s="229"/>
      <c r="M209" s="229"/>
      <c r="N209" s="275"/>
      <c r="O209" s="229"/>
      <c r="P209" s="228"/>
      <c r="Q209" s="228"/>
      <c r="R209" s="229"/>
      <c r="S209" s="229"/>
      <c r="T209" s="276"/>
      <c r="U209" s="229"/>
      <c r="V209" s="228"/>
      <c r="W209" s="229"/>
      <c r="X209" s="229"/>
      <c r="Y209" s="229"/>
      <c r="Z209" s="275"/>
      <c r="AA209" s="229"/>
      <c r="AB209" s="228"/>
      <c r="AC209" s="277"/>
      <c r="AD209" s="229"/>
      <c r="AE209" s="229"/>
      <c r="AF209" s="229"/>
      <c r="AG209" s="229"/>
      <c r="AH209" s="275"/>
      <c r="AI209" s="232"/>
    </row>
    <row r="210" s="53" customFormat="true" ht="15" hidden="false" customHeight="true" outlineLevel="0" collapsed="false">
      <c r="D210" s="1106"/>
      <c r="E210" s="267"/>
      <c r="F210" s="267"/>
      <c r="G210" s="287"/>
      <c r="H210" s="278"/>
      <c r="I210" s="274"/>
      <c r="J210" s="228"/>
      <c r="K210" s="75"/>
      <c r="L210" s="229"/>
      <c r="M210" s="229"/>
      <c r="N210" s="50"/>
      <c r="O210" s="229"/>
      <c r="P210" s="228"/>
      <c r="Q210" s="279"/>
      <c r="R210" s="229"/>
      <c r="S210" s="229"/>
      <c r="T210" s="280"/>
      <c r="U210" s="229"/>
      <c r="V210" s="228"/>
      <c r="W210" s="113"/>
      <c r="X210" s="229"/>
      <c r="Y210" s="229"/>
      <c r="Z210" s="50"/>
      <c r="AA210" s="229"/>
      <c r="AB210" s="228"/>
      <c r="AC210" s="75"/>
      <c r="AD210" s="229"/>
      <c r="AE210" s="229"/>
      <c r="AF210" s="234"/>
      <c r="AG210" s="234"/>
      <c r="AH210" s="235"/>
      <c r="AI210" s="235"/>
    </row>
    <row r="211" s="53" customFormat="true" ht="15" hidden="false" customHeight="true" outlineLevel="0" collapsed="false">
      <c r="D211" s="1106"/>
      <c r="E211" s="267"/>
      <c r="F211" s="267"/>
      <c r="G211" s="287"/>
      <c r="H211" s="278"/>
      <c r="I211" s="274"/>
      <c r="J211" s="228"/>
      <c r="K211" s="75"/>
      <c r="L211" s="229"/>
      <c r="M211" s="229"/>
      <c r="N211" s="50"/>
      <c r="O211" s="229"/>
      <c r="P211" s="228"/>
      <c r="Q211" s="279"/>
      <c r="R211" s="229"/>
      <c r="S211" s="229"/>
      <c r="T211" s="280"/>
      <c r="U211" s="229"/>
      <c r="V211" s="228"/>
      <c r="W211" s="113"/>
      <c r="X211" s="229"/>
      <c r="Y211" s="229"/>
      <c r="Z211" s="113"/>
      <c r="AA211" s="234"/>
      <c r="AB211" s="235"/>
      <c r="AC211" s="235"/>
      <c r="AD211" s="235"/>
      <c r="AE211" s="235"/>
      <c r="AF211" s="235"/>
      <c r="AG211" s="235"/>
      <c r="AH211" s="235"/>
      <c r="AI211" s="235"/>
    </row>
    <row r="212" s="53" customFormat="true" ht="15" hidden="false" customHeight="true" outlineLevel="0" collapsed="false">
      <c r="D212" s="1106"/>
      <c r="E212" s="267"/>
      <c r="F212" s="267"/>
      <c r="G212" s="287"/>
      <c r="H212" s="278"/>
      <c r="I212" s="274"/>
      <c r="J212" s="228"/>
      <c r="K212" s="75"/>
      <c r="L212" s="229"/>
      <c r="M212" s="229"/>
      <c r="N212" s="50"/>
      <c r="O212" s="229"/>
      <c r="P212" s="228"/>
      <c r="Q212" s="279"/>
      <c r="R212" s="229"/>
      <c r="S212" s="229"/>
      <c r="T212" s="281"/>
      <c r="U212" s="282"/>
      <c r="V212" s="235"/>
      <c r="W212" s="235"/>
      <c r="X212" s="235"/>
      <c r="Y212" s="235"/>
      <c r="Z212" s="235"/>
      <c r="AA212" s="235"/>
      <c r="AB212" s="235"/>
      <c r="AC212" s="235"/>
      <c r="AD212" s="235"/>
      <c r="AE212" s="235"/>
      <c r="AF212" s="235"/>
      <c r="AG212" s="235"/>
      <c r="AH212" s="235"/>
      <c r="AI212" s="235"/>
    </row>
    <row r="213" s="53" customFormat="true" ht="11.25" hidden="false" customHeight="true" outlineLevel="0" collapsed="false">
      <c r="D213" s="1106"/>
      <c r="E213" s="267"/>
      <c r="F213" s="267"/>
      <c r="G213" s="287"/>
      <c r="H213" s="283"/>
      <c r="I213" s="274"/>
      <c r="J213" s="228"/>
      <c r="K213" s="75"/>
      <c r="L213" s="229"/>
      <c r="M213" s="229"/>
      <c r="N213" s="234"/>
      <c r="O213" s="234"/>
      <c r="P213" s="235"/>
      <c r="Q213" s="235"/>
      <c r="R213" s="235"/>
      <c r="S213" s="235"/>
      <c r="T213" s="235"/>
      <c r="U213" s="235"/>
      <c r="V213" s="235"/>
      <c r="W213" s="235"/>
      <c r="X213" s="235"/>
      <c r="Y213" s="235"/>
      <c r="Z213" s="235"/>
      <c r="AA213" s="235"/>
      <c r="AB213" s="235"/>
      <c r="AC213" s="235"/>
      <c r="AD213" s="235"/>
      <c r="AE213" s="235"/>
      <c r="AF213" s="235"/>
      <c r="AG213" s="235"/>
      <c r="AH213" s="235"/>
      <c r="AI213" s="235"/>
    </row>
    <row r="214" s="259" customFormat="true" ht="11.25" hidden="false" customHeight="true" outlineLevel="0" collapsed="false">
      <c r="D214" s="1106"/>
      <c r="E214" s="267"/>
      <c r="F214" s="267"/>
      <c r="G214" s="287"/>
      <c r="H214" s="284"/>
      <c r="I214" s="285"/>
      <c r="J214" s="239"/>
      <c r="K214" s="239"/>
      <c r="L214" s="239"/>
      <c r="M214" s="239"/>
      <c r="N214" s="239"/>
      <c r="O214" s="239"/>
      <c r="P214" s="239"/>
      <c r="Q214" s="239"/>
      <c r="R214" s="239"/>
      <c r="S214" s="239"/>
      <c r="T214" s="239"/>
      <c r="U214" s="239"/>
      <c r="V214" s="239"/>
      <c r="W214" s="239"/>
      <c r="X214" s="239"/>
      <c r="Y214" s="239"/>
      <c r="Z214" s="239"/>
      <c r="AA214" s="239"/>
      <c r="AB214" s="239"/>
      <c r="AC214" s="239"/>
      <c r="AD214" s="239"/>
      <c r="AE214" s="239"/>
      <c r="AF214" s="239"/>
      <c r="AG214" s="239"/>
      <c r="AH214" s="239"/>
      <c r="AI214" s="239"/>
      <c r="BK214" s="53"/>
    </row>
    <row r="215" customFormat="false" ht="17.25" hidden="false" customHeight="true" outlineLevel="0" collapsed="false"/>
  </sheetData>
  <mergeCells count="287">
    <mergeCell ref="A13:A15"/>
    <mergeCell ref="D23:D25"/>
    <mergeCell ref="E23:E25"/>
    <mergeCell ref="F23:F25"/>
    <mergeCell ref="G23:G24"/>
    <mergeCell ref="H23:H24"/>
    <mergeCell ref="I23:I24"/>
    <mergeCell ref="J23:J24"/>
    <mergeCell ref="G29:G30"/>
    <mergeCell ref="H29:H30"/>
    <mergeCell ref="I29:I30"/>
    <mergeCell ref="J29:J30"/>
    <mergeCell ref="A47:A51"/>
    <mergeCell ref="C47:C51"/>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Y72:Y73"/>
    <mergeCell ref="F82:F87"/>
    <mergeCell ref="G82:G86"/>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I87:K87"/>
    <mergeCell ref="N91:N93"/>
    <mergeCell ref="O91:O93"/>
    <mergeCell ref="P91:P93"/>
    <mergeCell ref="Q91:Q93"/>
    <mergeCell ref="R91:R93"/>
    <mergeCell ref="S91:S93"/>
    <mergeCell ref="T91:T93"/>
    <mergeCell ref="U91:U93"/>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D115:D123"/>
    <mergeCell ref="E115:G115"/>
    <mergeCell ref="H115:R115"/>
    <mergeCell ref="AC115:AC120"/>
    <mergeCell ref="E116:G116"/>
    <mergeCell ref="H116:R116"/>
    <mergeCell ref="E117:G117"/>
    <mergeCell ref="H117:R117"/>
    <mergeCell ref="E118:P118"/>
    <mergeCell ref="U118:U120"/>
    <mergeCell ref="V118:V120"/>
    <mergeCell ref="E121:P121"/>
    <mergeCell ref="U121:U123"/>
    <mergeCell ref="V121:V123"/>
    <mergeCell ref="D127:D135"/>
    <mergeCell ref="E127:G127"/>
    <mergeCell ref="H127:R127"/>
    <mergeCell ref="AC127:AC132"/>
    <mergeCell ref="E128:G128"/>
    <mergeCell ref="H128:R128"/>
    <mergeCell ref="E129:G129"/>
    <mergeCell ref="H129:R129"/>
    <mergeCell ref="E130:P130"/>
    <mergeCell ref="U130:U132"/>
    <mergeCell ref="V130:V132"/>
    <mergeCell ref="U133:U135"/>
    <mergeCell ref="V133:V135"/>
    <mergeCell ref="E139:E142"/>
    <mergeCell ref="F139:F142"/>
    <mergeCell ref="G139:G142"/>
    <mergeCell ref="L139:M139"/>
    <mergeCell ref="S139:S142"/>
    <mergeCell ref="H140:H141"/>
    <mergeCell ref="I140:I141"/>
    <mergeCell ref="J140:J141"/>
    <mergeCell ref="K140:K141"/>
    <mergeCell ref="H147:H148"/>
    <mergeCell ref="I147:I148"/>
    <mergeCell ref="J147:J148"/>
    <mergeCell ref="K147:K148"/>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H160:H163"/>
    <mergeCell ref="I160:I163"/>
    <mergeCell ref="J160:J163"/>
    <mergeCell ref="K160:K163"/>
    <mergeCell ref="L160:L162"/>
    <mergeCell ref="M160:M162"/>
    <mergeCell ref="N160:N162"/>
    <mergeCell ref="O160:O162"/>
    <mergeCell ref="P160:P161"/>
    <mergeCell ref="Q160:Q161"/>
    <mergeCell ref="R160:R161"/>
    <mergeCell ref="S160:S161"/>
    <mergeCell ref="L165:L167"/>
    <mergeCell ref="M165:M167"/>
    <mergeCell ref="N165:N167"/>
    <mergeCell ref="O165:O167"/>
    <mergeCell ref="P165:P166"/>
    <mergeCell ref="Q165:Q166"/>
    <mergeCell ref="R165:R166"/>
    <mergeCell ref="S165:S166"/>
    <mergeCell ref="P169:P170"/>
    <mergeCell ref="Q169:Q170"/>
    <mergeCell ref="R169:R170"/>
    <mergeCell ref="S169:S170"/>
    <mergeCell ref="D176:D180"/>
    <mergeCell ref="E176:E180"/>
    <mergeCell ref="F176:F180"/>
    <mergeCell ref="G176:G180"/>
    <mergeCell ref="H176:H179"/>
    <mergeCell ref="I176:I179"/>
    <mergeCell ref="J176:J179"/>
    <mergeCell ref="K176:K179"/>
    <mergeCell ref="L176:L178"/>
    <mergeCell ref="M176:M178"/>
    <mergeCell ref="N176:N178"/>
    <mergeCell ref="O176:O178"/>
    <mergeCell ref="P176:P177"/>
    <mergeCell ref="Q176:Q177"/>
    <mergeCell ref="R176:R177"/>
    <mergeCell ref="S176:S177"/>
    <mergeCell ref="W176:W177"/>
    <mergeCell ref="H182:H185"/>
    <mergeCell ref="I182:I185"/>
    <mergeCell ref="J182:J185"/>
    <mergeCell ref="K182:K185"/>
    <mergeCell ref="L182:L184"/>
    <mergeCell ref="M182:M184"/>
    <mergeCell ref="N182:N184"/>
    <mergeCell ref="O182:O184"/>
    <mergeCell ref="P182:P183"/>
    <mergeCell ref="Q182:Q183"/>
    <mergeCell ref="R182:R183"/>
    <mergeCell ref="S182:S183"/>
    <mergeCell ref="W182:W183"/>
    <mergeCell ref="L187:L189"/>
    <mergeCell ref="M187:M189"/>
    <mergeCell ref="N187:N189"/>
    <mergeCell ref="O187:O189"/>
    <mergeCell ref="P187:P188"/>
    <mergeCell ref="Q187:Q188"/>
    <mergeCell ref="R187:R188"/>
    <mergeCell ref="S187:S188"/>
    <mergeCell ref="W187:W188"/>
    <mergeCell ref="P191:P192"/>
    <mergeCell ref="Q191:Q192"/>
    <mergeCell ref="R191:R192"/>
    <mergeCell ref="S191:S192"/>
    <mergeCell ref="W191:W192"/>
    <mergeCell ref="D194:D198"/>
    <mergeCell ref="E194:E198"/>
    <mergeCell ref="F194:F198"/>
    <mergeCell ref="G194:G198"/>
    <mergeCell ref="H194:H197"/>
    <mergeCell ref="I194:I197"/>
    <mergeCell ref="J194:J197"/>
    <mergeCell ref="K194:K197"/>
    <mergeCell ref="L194:L196"/>
    <mergeCell ref="M194:M196"/>
    <mergeCell ref="N194:N196"/>
    <mergeCell ref="O194:O196"/>
    <mergeCell ref="P194:P195"/>
    <mergeCell ref="Q194:Q195"/>
    <mergeCell ref="R194:R195"/>
    <mergeCell ref="S194:S195"/>
    <mergeCell ref="D202:D207"/>
    <mergeCell ref="E202:E207"/>
    <mergeCell ref="F202:F207"/>
    <mergeCell ref="G202:G207"/>
    <mergeCell ref="I202:I206"/>
    <mergeCell ref="J202:J206"/>
    <mergeCell ref="L202:L206"/>
    <mergeCell ref="M202:M206"/>
    <mergeCell ref="O202:O205"/>
    <mergeCell ref="P202:P205"/>
    <mergeCell ref="R202:R205"/>
    <mergeCell ref="S202:S205"/>
    <mergeCell ref="U202:U204"/>
    <mergeCell ref="V202:V204"/>
    <mergeCell ref="X202:X204"/>
    <mergeCell ref="Y202:Y204"/>
    <mergeCell ref="AA202:AA203"/>
    <mergeCell ref="AB202:AB203"/>
    <mergeCell ref="AD202:AD203"/>
    <mergeCell ref="AE202:AE203"/>
    <mergeCell ref="AH203:AI203"/>
    <mergeCell ref="AB204:AI204"/>
    <mergeCell ref="V205:AI205"/>
    <mergeCell ref="P206:AI206"/>
    <mergeCell ref="J207:AI207"/>
    <mergeCell ref="D209:D214"/>
    <mergeCell ref="E209:E214"/>
    <mergeCell ref="F209:F214"/>
    <mergeCell ref="G209:G214"/>
    <mergeCell ref="I209:I213"/>
    <mergeCell ref="J209:J213"/>
    <mergeCell ref="L209:L213"/>
    <mergeCell ref="M209:M213"/>
    <mergeCell ref="O209:O212"/>
    <mergeCell ref="P209:P212"/>
    <mergeCell ref="R209:R212"/>
    <mergeCell ref="S209:S212"/>
    <mergeCell ref="U209:U211"/>
    <mergeCell ref="V209:V211"/>
    <mergeCell ref="X209:X211"/>
    <mergeCell ref="Y209:Y211"/>
    <mergeCell ref="AA209:AA210"/>
    <mergeCell ref="AB209:AB210"/>
    <mergeCell ref="AD209:AD210"/>
    <mergeCell ref="AE209:AE210"/>
    <mergeCell ref="AH210:AI210"/>
    <mergeCell ref="AB211:AI211"/>
    <mergeCell ref="V212:AI212"/>
    <mergeCell ref="P213:AI213"/>
    <mergeCell ref="J214:AI214"/>
  </mergeCells>
  <dataValidations count="20">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54:F156 K154 O154 S154:S155 F157:F158 F160:F162 K160 O160 S160:S161 F163 F165:F167 K165 O165 S165:S166 F169:F170 K169 O169 S169:S170 F172 F176:F178 K176 O176 S176:S177 F179:F180 F182:F184 K182 O182 S182:S183 F185 F187:F189 O187 S187:S188 F191:F192 O191 S191:S192 K194:K195 O194:O195 S194:S19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49 G64 I72:J72 T72 X72 I77:J77 T77 X77" type="none">
      <formula1>0</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54:N156 N160:N162 N165:N167 N169:N170 N176:N178 N182:N184 N187:N189 N191:N192" type="none">
      <formula1>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54:G158 G160:G163 G165:G167 G169:G170 G172 G176:G180 G182:G185 G187:G189 G191:G192" type="none">
      <formula1>0</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60" type="none">
      <formula1>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O110:AB110 BT110:CK110 CY110:DJ110" type="decimal">
      <formula1>-9.99999999999999E+023</formula1>
      <formula2>9.99999999999999E+023</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202 AC209" type="list">
      <formula1>list_typetko</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10" type="list">
      <formula1>QRE_METHOD_LIST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40:J141 J147:J148 J150" type="list">
      <formula1>kind_of_purchase_method</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72 G77"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60 N60 P60 R60:S60 U60:V60 Y60:Z60 AC60 AF82:AF86 AI82:AI86 AF91:AF93 AI91:AI93 AF97 AI97 AF101:AF105 AI101:AI105" type="whole">
      <formula1>0</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60" type="list">
      <formula1>kind_of_power_te_unit</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72 K77 I82:J85 I97:J97 I101:J104" type="list">
      <formula1>"a"</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56 H64 F68" type="textLength">
      <formula1>900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94:N196" type="list">
      <formula1>DESCRIPTION_TERRITORY</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60:I60 K60 M60 O60 Q60 T60 X60 AB60 AC84 AE84 AC92 AE92 AC97 AE97 AC103 AE103 O140 Q140 O147 Q147 O150 Q150" type="decimal">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E4 E8 G13 M34 E39 E43:F43 F48 F50:F51 E60 E64:F64 E68 G68 L72:M72 Q72:S72 U72:W72 AB72 L77:M77 Q77:S77 U77:W77 AB77 K82:K83 M82 K84:K85 K91:K93 K97 K101:K102 M101 K103:K104 I110 J154:J155 R154:R155 V154:W154 J160:J161 R160:R161 V160:W160 J165:J166 R165:R166 V165:W165 J169:J170 R169:R170 V169:W169 J172 R172 V172:W172 J176:J177 R176:R177 V176:W176 J182:J183 R182:R183 V182:W182 J187:J188 R187:R188 V187:W187 J191:J192 R191:R192 V191:W191 J194:J195 R194:R195 V194:W194 J202:J203 P202:P205 AI202 J204:J206 J209:J210 P209:P212 AI209 J211:J213"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4453125" defaultRowHeight="9" zeroHeight="false" outlineLevelRow="0" outlineLevelCol="0"/>
  <cols>
    <col collapsed="false" customWidth="false" hidden="false" outlineLevel="0" max="1" min="1" style="1124" width="43.14"/>
    <col collapsed="false" customWidth="false" hidden="true" outlineLevel="0" max="2" min="2" style="1124" width="43.14"/>
    <col collapsed="false" customWidth="false" hidden="false" outlineLevel="0" max="3" min="3" style="1124" width="43.14"/>
    <col collapsed="false" customWidth="true" hidden="false" outlineLevel="0" max="5" min="4" style="1124" width="36.42"/>
    <col collapsed="false" customWidth="true" hidden="false" outlineLevel="0" max="8" min="6" style="1125" width="36.42"/>
  </cols>
  <sheetData>
    <row r="1" customFormat="false" ht="9" hidden="false" customHeight="true" outlineLevel="0" collapsed="false">
      <c r="A1" s="1126" t="s">
        <v>1878</v>
      </c>
      <c r="B1" s="1126"/>
      <c r="C1" s="1127" t="s">
        <v>1879</v>
      </c>
      <c r="D1" s="1128" t="s">
        <v>743</v>
      </c>
      <c r="E1" s="1128" t="s">
        <v>789</v>
      </c>
      <c r="F1" s="1128" t="s">
        <v>844</v>
      </c>
      <c r="G1" s="1128" t="s">
        <v>830</v>
      </c>
      <c r="H1" s="1128" t="s">
        <v>1554</v>
      </c>
    </row>
    <row r="2" customFormat="false" ht="9" hidden="false" customHeight="true" outlineLevel="0" collapsed="false">
      <c r="A2" s="1129" t="s">
        <v>1880</v>
      </c>
      <c r="B2" s="1129"/>
      <c r="C2" s="1130" t="str">
        <f aca="false">INDEX(TEMPLATE_NUMBER_FORM_LIST,MATCH(TEMPLATE_SPHERE,TEMPLATE_SPHERE_LIST,0))</f>
        <v>10</v>
      </c>
      <c r="D2" s="1129" t="s">
        <v>1405</v>
      </c>
      <c r="E2" s="1129" t="s">
        <v>156</v>
      </c>
      <c r="F2" s="1131" t="s">
        <v>156</v>
      </c>
      <c r="G2" s="1129" t="s">
        <v>156</v>
      </c>
      <c r="H2" s="1132"/>
    </row>
    <row r="3" customFormat="false" ht="63" hidden="false" customHeight="true" outlineLevel="0" collapsed="false">
      <c r="A3" s="1126"/>
      <c r="B3" s="1126" t="s">
        <v>117</v>
      </c>
      <c r="C3" s="1130" t="str">
        <f aca="false">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30" t="s">
        <v>1881</v>
      </c>
      <c r="E3" s="1130"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31"/>
      <c r="G3" s="1132"/>
      <c r="H3" s="1126"/>
    </row>
    <row r="4" customFormat="false" ht="243" hidden="false" customHeight="true" outlineLevel="0" collapsed="false">
      <c r="A4" s="1126" t="s">
        <v>1882</v>
      </c>
      <c r="B4" s="1126" t="s">
        <v>99</v>
      </c>
      <c r="C4" s="1130" t="str">
        <f aca="false">IF(TEMPLATE_SPHERE="HEAT",D4,IF(TEMPLATE_SPHERE="TKO",H4,E4))</f>
        <v>Форма 1. Информация об организации, осуществляющей горячее водоснабжение (общая информация)</v>
      </c>
      <c r="D4" s="1129" t="s">
        <v>1883</v>
      </c>
      <c r="E4" s="1130" t="str">
        <f aca="false">"Форма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29"/>
      <c r="G4" s="1129"/>
      <c r="H4" s="1126" t="s">
        <v>1884</v>
      </c>
    </row>
    <row r="5" customFormat="false" ht="117" hidden="false" customHeight="true" outlineLevel="0" collapsed="false">
      <c r="A5" s="1126" t="s">
        <v>1885</v>
      </c>
      <c r="B5" s="1126" t="s">
        <v>86</v>
      </c>
      <c r="C5" s="1130" t="str">
        <f aca="false">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126" t="s">
        <v>1886</v>
      </c>
      <c r="E5" s="1133"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32"/>
      <c r="G5" s="1132"/>
      <c r="H5" s="1126" t="s">
        <v>1887</v>
      </c>
    </row>
    <row r="6" customFormat="false" ht="45" hidden="false" customHeight="true" outlineLevel="0" collapsed="false">
      <c r="A6" s="1126" t="s">
        <v>1888</v>
      </c>
      <c r="B6" s="1126" t="s">
        <v>87</v>
      </c>
      <c r="C6" s="1130" t="str">
        <f aca="false">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126" t="s">
        <v>1889</v>
      </c>
      <c r="E6" s="1133"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126"/>
      <c r="G6" s="1126"/>
      <c r="H6" s="1132"/>
    </row>
    <row r="7" customFormat="false" ht="45" hidden="false" customHeight="true" outlineLevel="0" collapsed="false">
      <c r="A7" s="1126" t="s">
        <v>1890</v>
      </c>
      <c r="B7" s="1126" t="s">
        <v>118</v>
      </c>
      <c r="C7" s="1130" t="str">
        <f aca="false">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26" t="s">
        <v>1891</v>
      </c>
      <c r="E7" s="1126" t="s">
        <v>1892</v>
      </c>
      <c r="F7" s="1132"/>
      <c r="G7" s="1132"/>
      <c r="H7" s="1132"/>
    </row>
    <row r="8" customFormat="false" ht="108" hidden="false" customHeight="true" outlineLevel="0" collapsed="false">
      <c r="A8" s="1126" t="s">
        <v>1893</v>
      </c>
      <c r="B8" s="1126" t="s">
        <v>88</v>
      </c>
      <c r="C8" s="1130" t="str">
        <f aca="false">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26" t="s">
        <v>1093</v>
      </c>
      <c r="E8" s="1126" t="s">
        <v>1894</v>
      </c>
      <c r="F8" s="1132"/>
      <c r="G8" s="1132"/>
      <c r="H8" s="1132"/>
    </row>
    <row r="9" customFormat="false" ht="99" hidden="false" customHeight="true" outlineLevel="0" collapsed="false">
      <c r="A9" s="1126" t="s">
        <v>1895</v>
      </c>
      <c r="B9" s="1126"/>
      <c r="C9" s="1126" t="s">
        <v>1896</v>
      </c>
      <c r="D9" s="1126"/>
      <c r="E9" s="1126"/>
      <c r="F9" s="1132"/>
      <c r="G9" s="1132"/>
      <c r="H9" s="1132"/>
    </row>
    <row r="10" customFormat="false" ht="126" hidden="false" customHeight="true" outlineLevel="0" collapsed="false">
      <c r="A10" s="1126" t="s">
        <v>1897</v>
      </c>
      <c r="B10" s="1126"/>
      <c r="C10" s="1126" t="s">
        <v>1898</v>
      </c>
      <c r="D10" s="1126"/>
      <c r="E10" s="1126"/>
      <c r="F10" s="1132"/>
      <c r="G10" s="1132"/>
      <c r="H10" s="1132"/>
    </row>
    <row r="11" customFormat="false" ht="108" hidden="false" customHeight="true" outlineLevel="0" collapsed="false">
      <c r="A11" s="1126" t="s">
        <v>1899</v>
      </c>
      <c r="B11" s="1126"/>
      <c r="C11" s="1126" t="s">
        <v>1900</v>
      </c>
      <c r="D11" s="1126"/>
      <c r="E11" s="1126"/>
      <c r="F11" s="1132"/>
      <c r="G11" s="1132"/>
      <c r="H11" s="1132"/>
    </row>
    <row r="12" customFormat="false" ht="54" hidden="false" customHeight="true" outlineLevel="0" collapsed="false">
      <c r="A12" s="1126" t="s">
        <v>1901</v>
      </c>
      <c r="B12" s="1126"/>
      <c r="C12" s="1126" t="s">
        <v>1902</v>
      </c>
      <c r="D12" s="1126"/>
      <c r="E12" s="1126"/>
      <c r="F12" s="1132"/>
      <c r="G12" s="1132"/>
      <c r="H12" s="1132"/>
    </row>
    <row r="13" customFormat="false" ht="45" hidden="false" customHeight="true" outlineLevel="0" collapsed="false">
      <c r="A13" s="1126" t="s">
        <v>1903</v>
      </c>
      <c r="B13" s="1126"/>
      <c r="C13" s="1126" t="s">
        <v>1904</v>
      </c>
      <c r="D13" s="1126"/>
      <c r="E13" s="1126"/>
      <c r="F13" s="1132"/>
      <c r="G13" s="1132"/>
      <c r="H13" s="1132"/>
    </row>
    <row r="14" customFormat="false" ht="117" hidden="false" customHeight="true" outlineLevel="0" collapsed="false">
      <c r="A14" s="1126" t="s">
        <v>1905</v>
      </c>
      <c r="B14" s="1126"/>
      <c r="C14" s="1126" t="s">
        <v>1906</v>
      </c>
      <c r="D14" s="1126"/>
      <c r="E14" s="1126"/>
      <c r="F14" s="1132"/>
      <c r="G14" s="1132"/>
      <c r="H14" s="1132"/>
    </row>
    <row r="15" customFormat="false" ht="117" hidden="false" customHeight="true" outlineLevel="0" collapsed="false">
      <c r="A15" s="1126" t="s">
        <v>1907</v>
      </c>
      <c r="B15" s="1126"/>
      <c r="C15" s="1126" t="s">
        <v>1908</v>
      </c>
      <c r="D15" s="1126"/>
      <c r="E15" s="1126"/>
      <c r="F15" s="1132"/>
      <c r="G15" s="1132"/>
      <c r="H15" s="1132"/>
    </row>
    <row r="16" customFormat="false" ht="63" hidden="false" customHeight="true" outlineLevel="0" collapsed="false">
      <c r="A16" s="1126" t="s">
        <v>1909</v>
      </c>
      <c r="B16" s="1126"/>
      <c r="C16" s="1126" t="s">
        <v>1910</v>
      </c>
      <c r="D16" s="1126"/>
      <c r="E16" s="1126"/>
      <c r="F16" s="1132"/>
      <c r="G16" s="1132"/>
      <c r="H16" s="1132"/>
    </row>
    <row r="17" customFormat="false" ht="54" hidden="false" customHeight="true" outlineLevel="0" collapsed="false">
      <c r="A17" s="1126" t="s">
        <v>1911</v>
      </c>
      <c r="B17" s="1126"/>
      <c r="C17" s="1130" t="s">
        <v>1912</v>
      </c>
      <c r="D17" s="1126"/>
      <c r="E17" s="1126"/>
      <c r="F17" s="1132"/>
      <c r="G17" s="1132"/>
      <c r="H17" s="1132"/>
    </row>
    <row r="18" customFormat="false" ht="27" hidden="false" customHeight="true" outlineLevel="0" collapsed="false">
      <c r="A18" s="1126" t="s">
        <v>1913</v>
      </c>
      <c r="B18" s="1126"/>
      <c r="C18" s="1130" t="s">
        <v>1914</v>
      </c>
      <c r="D18" s="1126"/>
      <c r="E18" s="1126"/>
      <c r="F18" s="1132"/>
      <c r="G18" s="1132"/>
      <c r="H18" s="1132"/>
    </row>
    <row r="19" customFormat="false" ht="54" hidden="false" customHeight="true" outlineLevel="0" collapsed="false">
      <c r="A19" s="1126" t="s">
        <v>1915</v>
      </c>
      <c r="B19" s="1126"/>
      <c r="C19" s="1130" t="s">
        <v>1916</v>
      </c>
      <c r="D19" s="1126"/>
      <c r="E19" s="1126"/>
      <c r="F19" s="1132"/>
      <c r="G19" s="1132"/>
      <c r="H19" s="1132"/>
    </row>
    <row r="20" customFormat="false" ht="36" hidden="false" customHeight="true" outlineLevel="0" collapsed="false">
      <c r="A20" s="1126" t="s">
        <v>1917</v>
      </c>
      <c r="B20" s="1126"/>
      <c r="C20" s="1130" t="s">
        <v>1918</v>
      </c>
      <c r="D20" s="1126"/>
      <c r="E20" s="1126"/>
      <c r="F20" s="1132"/>
      <c r="G20" s="1132"/>
      <c r="H20" s="1132"/>
    </row>
    <row r="21" customFormat="false" ht="36" hidden="false" customHeight="true" outlineLevel="0" collapsed="false">
      <c r="A21" s="1126" t="s">
        <v>1919</v>
      </c>
      <c r="B21" s="1126"/>
      <c r="C21" s="1130" t="s">
        <v>1920</v>
      </c>
      <c r="D21" s="1126"/>
      <c r="E21" s="1126"/>
      <c r="F21" s="1132"/>
      <c r="G21" s="1132"/>
      <c r="H21" s="1132"/>
    </row>
    <row r="22" customFormat="false" ht="27" hidden="false" customHeight="true" outlineLevel="0" collapsed="false">
      <c r="A22" s="1126" t="s">
        <v>1921</v>
      </c>
      <c r="B22" s="1126"/>
      <c r="C22" s="1130" t="s">
        <v>1922</v>
      </c>
      <c r="D22" s="1126"/>
      <c r="E22" s="1126"/>
      <c r="F22" s="1132"/>
      <c r="G22" s="1132"/>
      <c r="H22" s="1132"/>
    </row>
    <row r="23" customFormat="false" ht="36" hidden="false" customHeight="true" outlineLevel="0" collapsed="false">
      <c r="A23" s="1126" t="s">
        <v>1923</v>
      </c>
      <c r="B23" s="1126"/>
      <c r="C23" s="1130" t="s">
        <v>1924</v>
      </c>
      <c r="D23" s="1126"/>
      <c r="E23" s="1126"/>
      <c r="F23" s="1132"/>
      <c r="G23" s="1132"/>
      <c r="H23" s="1132"/>
    </row>
    <row r="24" customFormat="false" ht="28.5" hidden="false" customHeight="true" outlineLevel="0" collapsed="false">
      <c r="A24" s="1126" t="s">
        <v>1925</v>
      </c>
      <c r="B24" s="1126"/>
      <c r="C24" s="1130" t="s">
        <v>1926</v>
      </c>
      <c r="D24" s="1126"/>
      <c r="E24" s="1126"/>
      <c r="F24" s="1132"/>
      <c r="G24" s="1132"/>
      <c r="H24" s="1132"/>
    </row>
    <row r="25" customFormat="false" ht="36" hidden="false" customHeight="true" outlineLevel="0" collapsed="false">
      <c r="A25" s="1126" t="s">
        <v>1927</v>
      </c>
      <c r="B25" s="1126"/>
      <c r="C25" s="1130" t="s">
        <v>1928</v>
      </c>
      <c r="D25" s="1126"/>
      <c r="E25" s="1126"/>
      <c r="F25" s="1132"/>
      <c r="G25" s="1132"/>
      <c r="H25" s="1132"/>
    </row>
    <row r="26" customFormat="false" ht="27" hidden="false" customHeight="true" outlineLevel="0" collapsed="false">
      <c r="A26" s="1126" t="s">
        <v>1929</v>
      </c>
      <c r="B26" s="1126"/>
      <c r="C26" s="1130" t="s">
        <v>1930</v>
      </c>
      <c r="D26" s="1126"/>
      <c r="E26" s="1126"/>
      <c r="F26" s="1132"/>
      <c r="G26" s="1132"/>
      <c r="H26" s="1132"/>
    </row>
    <row r="27" customFormat="false" ht="36" hidden="false" customHeight="true" outlineLevel="0" collapsed="false">
      <c r="A27" s="1126" t="s">
        <v>1931</v>
      </c>
      <c r="B27" s="1126"/>
      <c r="C27" s="1130" t="s">
        <v>1932</v>
      </c>
      <c r="D27" s="1126"/>
      <c r="E27" s="1126"/>
      <c r="F27" s="1132"/>
      <c r="G27" s="1132"/>
      <c r="H27" s="1132"/>
    </row>
    <row r="28" customFormat="false" ht="28.5" hidden="false" customHeight="true" outlineLevel="0" collapsed="false">
      <c r="A28" s="1126" t="s">
        <v>1933</v>
      </c>
      <c r="B28" s="1126"/>
      <c r="C28" s="1130" t="s">
        <v>1934</v>
      </c>
      <c r="D28" s="1126"/>
      <c r="E28" s="1126"/>
      <c r="F28" s="1132"/>
      <c r="G28" s="1132"/>
      <c r="H28" s="1132"/>
    </row>
    <row r="29" customFormat="false" ht="126" hidden="false" customHeight="true" outlineLevel="0" collapsed="false">
      <c r="A29" s="1126" t="s">
        <v>1935</v>
      </c>
      <c r="B29" s="1126" t="s">
        <v>1506</v>
      </c>
      <c r="C29" s="1130" t="str">
        <f aca="false">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126" t="s">
        <v>1936</v>
      </c>
      <c r="E29" s="1133"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32"/>
      <c r="G29" s="1132"/>
      <c r="H29" s="1126" t="s">
        <v>1937</v>
      </c>
    </row>
    <row r="30" customFormat="false" ht="36" hidden="false" customHeight="true" outlineLevel="0" collapsed="false">
      <c r="A30" s="1126" t="s">
        <v>1938</v>
      </c>
      <c r="B30" s="1126"/>
      <c r="C30" s="1130" t="str">
        <f aca="false">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126" t="s">
        <v>1939</v>
      </c>
      <c r="E30" s="1133"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32"/>
      <c r="G30" s="1132"/>
      <c r="H30" s="1132"/>
    </row>
    <row r="31" customFormat="false" ht="54" hidden="false" customHeight="true" outlineLevel="0" collapsed="false">
      <c r="A31" s="1126" t="s">
        <v>1940</v>
      </c>
      <c r="B31" s="1126"/>
      <c r="C31" s="1130" t="str">
        <f aca="false">IF(TEMPLATE_SPHERE="HEAT",D31,IF(TEMPLATE_SPHERE="TKO",H31,E31))</f>
        <v>Форма 1. Информация об организации, осуществляющей горячее водоснабжение (общая информация)</v>
      </c>
      <c r="D31" s="1126" t="s">
        <v>1941</v>
      </c>
      <c r="E31" s="1133" t="str">
        <f aca="false">"Форма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32"/>
      <c r="G31" s="1132"/>
      <c r="H31" s="1132"/>
    </row>
    <row r="32" customFormat="false" ht="198" hidden="false" customHeight="true" outlineLevel="0" collapsed="false">
      <c r="A32" s="1126" t="s">
        <v>1942</v>
      </c>
      <c r="B32" s="1126"/>
      <c r="C32" s="1130" t="str">
        <f aca="false">IF(TEMPLATE_SPHERE="HEAT",D32,IF(TEMPLATE_SPHERE="TKO",H32,E32))</f>
        <v>Форма 7. Информация об инвестиционных программах организации горячего водоснабжения и отчетах об их исполнении</v>
      </c>
      <c r="D32" s="1126" t="s">
        <v>1943</v>
      </c>
      <c r="E32" s="1133"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32"/>
      <c r="G32" s="1132"/>
      <c r="H32" s="1126" t="s">
        <v>1944</v>
      </c>
    </row>
    <row r="33" customFormat="false" ht="9" hidden="false" customHeight="true" outlineLevel="0" collapsed="false">
      <c r="A33" s="1126"/>
      <c r="B33" s="1126"/>
      <c r="C33" s="1130"/>
      <c r="D33" s="1126"/>
      <c r="E33" s="1126"/>
      <c r="F33" s="1132"/>
      <c r="G33" s="1132"/>
      <c r="H33" s="1132"/>
    </row>
    <row r="34" customFormat="false" ht="9" hidden="false" customHeight="true" outlineLevel="0" collapsed="false">
      <c r="A34" s="1126"/>
      <c r="B34" s="1126" t="s">
        <v>1442</v>
      </c>
      <c r="C34" s="1130" t="n">
        <f aca="false">INDEX(TEMPLATE_NAME_FORM_LIST,B34,MATCH(TEMPLATE_SPHERE,TEMPLATE_SPHERE_LIST,0))</f>
        <v>0</v>
      </c>
      <c r="D34" s="1126"/>
      <c r="E34" s="1126"/>
      <c r="F34" s="1132"/>
      <c r="G34" s="1132"/>
      <c r="H34" s="1132"/>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9" zeroHeight="false" outlineLevelRow="0" outlineLevelCol="0"/>
  <cols>
    <col collapsed="false" customWidth="false" hidden="false" outlineLevel="0" max="2" min="1" style="1124" width="9.14"/>
    <col collapsed="false" customWidth="true" hidden="false" outlineLevel="0" max="7" min="3" style="1134" width="8"/>
    <col collapsed="false" customWidth="true" hidden="false" outlineLevel="0" max="12" min="8" style="1134" width="8.57"/>
    <col collapsed="false" customWidth="true" hidden="false" outlineLevel="0" max="14" min="13" style="1134" width="27.71"/>
    <col collapsed="false" customWidth="true" hidden="false" outlineLevel="0" max="19" min="15" style="1134" width="5.14"/>
    <col collapsed="false" customWidth="true" hidden="false" outlineLevel="0" max="24" min="20" style="1134" width="27.71"/>
    <col collapsed="false" customWidth="true" hidden="false" outlineLevel="0" max="25" min="25" style="1135" width="1.85"/>
    <col collapsed="false" customWidth="true" hidden="false" outlineLevel="0" max="26" min="26" style="1124" width="27.71"/>
    <col collapsed="false" customWidth="true" hidden="false" outlineLevel="0" max="27" min="27" style="1136" width="27.71"/>
    <col collapsed="false" customWidth="true" hidden="false" outlineLevel="0" max="29" min="28" style="1124" width="27.71"/>
    <col collapsed="false" customWidth="true" hidden="false" outlineLevel="0" max="30" min="30" style="1124" width="3.85"/>
    <col collapsed="false" customWidth="false" hidden="false" outlineLevel="0" max="34" min="31" style="1124" width="9.14"/>
  </cols>
  <sheetData>
    <row r="1" s="1139" customFormat="true" ht="18" hidden="false" customHeight="true" outlineLevel="0" collapsed="false">
      <c r="A1" s="1137"/>
      <c r="B1" s="1137"/>
      <c r="C1" s="1137" t="s">
        <v>1945</v>
      </c>
      <c r="D1" s="1137"/>
      <c r="E1" s="1137"/>
      <c r="F1" s="1137"/>
      <c r="G1" s="1137"/>
      <c r="H1" s="1137" t="s">
        <v>1946</v>
      </c>
      <c r="I1" s="1137"/>
      <c r="J1" s="1137"/>
      <c r="K1" s="1137"/>
      <c r="L1" s="1137"/>
      <c r="M1" s="1137" t="s">
        <v>1947</v>
      </c>
      <c r="N1" s="1137" t="s">
        <v>1948</v>
      </c>
      <c r="O1" s="1137" t="s">
        <v>1949</v>
      </c>
      <c r="P1" s="1137"/>
      <c r="Q1" s="1137"/>
      <c r="R1" s="1137"/>
      <c r="S1" s="1137"/>
      <c r="T1" s="1137" t="s">
        <v>1947</v>
      </c>
      <c r="U1" s="1137"/>
      <c r="V1" s="1137"/>
      <c r="W1" s="1137"/>
      <c r="X1" s="1137"/>
      <c r="Y1" s="1138"/>
      <c r="Z1" s="1137" t="s">
        <v>1950</v>
      </c>
      <c r="AA1" s="1137"/>
      <c r="AB1" s="1137"/>
      <c r="AC1" s="1137"/>
      <c r="AD1" s="1137"/>
    </row>
    <row r="2" customFormat="false" ht="18" hidden="false" customHeight="true" outlineLevel="0" collapsed="false">
      <c r="A2" s="1126"/>
      <c r="B2" s="1126"/>
      <c r="C2" s="1140" t="s">
        <v>743</v>
      </c>
      <c r="D2" s="1140" t="s">
        <v>789</v>
      </c>
      <c r="E2" s="1140" t="s">
        <v>844</v>
      </c>
      <c r="F2" s="1140" t="s">
        <v>830</v>
      </c>
      <c r="G2" s="1140" t="s">
        <v>1554</v>
      </c>
      <c r="H2" s="1141"/>
      <c r="I2" s="1141"/>
      <c r="J2" s="1141"/>
      <c r="K2" s="1141"/>
      <c r="L2" s="1141"/>
      <c r="M2" s="1141"/>
      <c r="N2" s="1141"/>
      <c r="O2" s="1140" t="s">
        <v>743</v>
      </c>
      <c r="P2" s="1140" t="s">
        <v>789</v>
      </c>
      <c r="Q2" s="1140" t="s">
        <v>830</v>
      </c>
      <c r="R2" s="1140" t="s">
        <v>844</v>
      </c>
      <c r="S2" s="1140" t="s">
        <v>1554</v>
      </c>
      <c r="T2" s="1140" t="s">
        <v>743</v>
      </c>
      <c r="U2" s="1140" t="s">
        <v>789</v>
      </c>
      <c r="V2" s="1140" t="s">
        <v>830</v>
      </c>
      <c r="W2" s="1140" t="s">
        <v>844</v>
      </c>
      <c r="X2" s="1140" t="s">
        <v>1554</v>
      </c>
      <c r="Y2" s="1140"/>
      <c r="Z2" s="1140" t="s">
        <v>743</v>
      </c>
      <c r="AA2" s="1142" t="s">
        <v>789</v>
      </c>
      <c r="AB2" s="1140" t="s">
        <v>830</v>
      </c>
      <c r="AC2" s="1140" t="s">
        <v>844</v>
      </c>
      <c r="AD2" s="1140" t="s">
        <v>1554</v>
      </c>
    </row>
    <row r="3" customFormat="false" ht="162" hidden="false" customHeight="true" outlineLevel="0" collapsed="false">
      <c r="A3" s="1143" t="s">
        <v>22</v>
      </c>
      <c r="B3" s="1143"/>
      <c r="C3" s="1137" t="s">
        <v>1951</v>
      </c>
      <c r="D3" s="1137"/>
      <c r="E3" s="1137"/>
      <c r="F3" s="1137"/>
      <c r="G3" s="1141"/>
      <c r="H3" s="1141"/>
      <c r="I3" s="1141"/>
      <c r="J3" s="1141"/>
      <c r="K3" s="1141"/>
      <c r="L3" s="1141"/>
      <c r="M3" s="1141"/>
      <c r="N3" s="1144" t="str">
        <f aca="false">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141"/>
      <c r="P3" s="1141"/>
      <c r="Q3" s="1141"/>
      <c r="R3" s="1141"/>
      <c r="S3" s="1141"/>
      <c r="T3" s="1141"/>
      <c r="U3" s="1141"/>
      <c r="V3" s="1141"/>
      <c r="W3" s="1141"/>
      <c r="X3" s="1141"/>
      <c r="Y3" s="1145"/>
      <c r="Z3" s="1126" t="s">
        <v>1952</v>
      </c>
      <c r="AA3" s="1141" t="s">
        <v>1953</v>
      </c>
      <c r="AB3" s="1126" t="s">
        <v>1954</v>
      </c>
      <c r="AC3" s="1126" t="s">
        <v>1955</v>
      </c>
      <c r="AD3" s="1126"/>
      <c r="AG3" s="1126"/>
      <c r="AH3" s="1126"/>
    </row>
    <row r="4" customFormat="false" ht="9" hidden="false" customHeight="true" outlineLevel="0" collapsed="false">
      <c r="A4" s="1143"/>
      <c r="B4" s="1143"/>
      <c r="C4" s="1141"/>
      <c r="D4" s="1141"/>
      <c r="E4" s="1141"/>
      <c r="F4" s="1141"/>
      <c r="G4" s="1141"/>
      <c r="H4" s="1141"/>
      <c r="I4" s="1141"/>
      <c r="J4" s="1141"/>
      <c r="K4" s="1141"/>
      <c r="L4" s="1141"/>
      <c r="M4" s="1141"/>
      <c r="N4" s="1141"/>
      <c r="O4" s="1141"/>
      <c r="P4" s="1141"/>
      <c r="Q4" s="1141"/>
      <c r="R4" s="1141"/>
      <c r="S4" s="1141"/>
      <c r="T4" s="1141"/>
      <c r="U4" s="1141"/>
      <c r="V4" s="1141"/>
      <c r="W4" s="1141"/>
      <c r="X4" s="1141"/>
      <c r="Y4" s="1145"/>
      <c r="Z4" s="1126"/>
      <c r="AA4" s="1133"/>
      <c r="AB4" s="1126"/>
      <c r="AC4" s="1126"/>
      <c r="AD4" s="1126"/>
    </row>
    <row r="5" customFormat="false" ht="9" hidden="false" customHeight="true" outlineLevel="0" collapsed="false">
      <c r="A5" s="1143"/>
      <c r="B5" s="1143"/>
      <c r="C5" s="1141"/>
      <c r="D5" s="1141"/>
      <c r="E5" s="1141"/>
      <c r="F5" s="1141"/>
      <c r="G5" s="1141"/>
      <c r="H5" s="1141"/>
      <c r="I5" s="1141"/>
      <c r="J5" s="1141"/>
      <c r="K5" s="1141"/>
      <c r="L5" s="1141"/>
      <c r="M5" s="1141"/>
      <c r="N5" s="1141"/>
      <c r="O5" s="1141"/>
      <c r="P5" s="1141"/>
      <c r="Q5" s="1141"/>
      <c r="R5" s="1141"/>
      <c r="S5" s="1141"/>
      <c r="T5" s="1141"/>
      <c r="U5" s="1141"/>
      <c r="V5" s="1141"/>
      <c r="W5" s="1141"/>
      <c r="X5" s="1141"/>
      <c r="Y5" s="1145"/>
      <c r="Z5" s="1126"/>
      <c r="AA5" s="1133"/>
      <c r="AB5" s="1126"/>
      <c r="AC5" s="1126"/>
      <c r="AD5" s="1126"/>
    </row>
    <row r="6" customFormat="false" ht="9" hidden="false" customHeight="true" outlineLevel="0" collapsed="false">
      <c r="A6" s="1143"/>
      <c r="B6" s="1143"/>
      <c r="C6" s="1141"/>
      <c r="D6" s="1141"/>
      <c r="E6" s="1141"/>
      <c r="F6" s="1141"/>
      <c r="G6" s="1141"/>
      <c r="H6" s="1141"/>
      <c r="I6" s="1141"/>
      <c r="J6" s="1141"/>
      <c r="K6" s="1141"/>
      <c r="L6" s="1141"/>
      <c r="M6" s="1141"/>
      <c r="N6" s="1141"/>
      <c r="O6" s="1141"/>
      <c r="P6" s="1141"/>
      <c r="Q6" s="1141"/>
      <c r="R6" s="1141"/>
      <c r="S6" s="1141"/>
      <c r="T6" s="1141"/>
      <c r="U6" s="1141"/>
      <c r="V6" s="1141"/>
      <c r="W6" s="1141"/>
      <c r="X6" s="1141"/>
      <c r="Y6" s="1145"/>
      <c r="Z6" s="1126"/>
      <c r="AA6" s="1133"/>
      <c r="AB6" s="1126"/>
      <c r="AC6" s="1126"/>
      <c r="AD6" s="1126"/>
    </row>
    <row r="7" customFormat="false" ht="9" hidden="false" customHeight="true" outlineLevel="0" collapsed="false">
      <c r="A7" s="1143"/>
      <c r="B7" s="1143"/>
      <c r="C7" s="1141"/>
      <c r="D7" s="1141"/>
      <c r="E7" s="1141"/>
      <c r="F7" s="1141"/>
      <c r="G7" s="1141"/>
      <c r="H7" s="1141"/>
      <c r="I7" s="1141"/>
      <c r="J7" s="1141"/>
      <c r="K7" s="1141"/>
      <c r="L7" s="1141"/>
      <c r="M7" s="1141"/>
      <c r="N7" s="1141"/>
      <c r="O7" s="1141"/>
      <c r="P7" s="1141"/>
      <c r="Q7" s="1141"/>
      <c r="R7" s="1141"/>
      <c r="S7" s="1141"/>
      <c r="T7" s="1141"/>
      <c r="U7" s="1141"/>
      <c r="V7" s="1141"/>
      <c r="W7" s="1141"/>
      <c r="X7" s="1141"/>
      <c r="Y7" s="1145"/>
      <c r="Z7" s="1126"/>
      <c r="AA7" s="1133"/>
      <c r="AB7" s="1126"/>
      <c r="AC7" s="1126"/>
      <c r="AD7" s="1126"/>
    </row>
    <row r="8" customFormat="false" ht="9" hidden="false" customHeight="true" outlineLevel="0" collapsed="false">
      <c r="A8" s="1143"/>
      <c r="B8" s="1143"/>
      <c r="C8" s="1141"/>
      <c r="D8" s="1141"/>
      <c r="E8" s="1141"/>
      <c r="F8" s="1141"/>
      <c r="G8" s="1141"/>
      <c r="H8" s="1141"/>
      <c r="I8" s="1141"/>
      <c r="J8" s="1141"/>
      <c r="K8" s="1141"/>
      <c r="L8" s="1141"/>
      <c r="M8" s="1141"/>
      <c r="N8" s="1141"/>
      <c r="O8" s="1141"/>
      <c r="P8" s="1141"/>
      <c r="Q8" s="1141"/>
      <c r="R8" s="1141"/>
      <c r="S8" s="1141"/>
      <c r="T8" s="1141"/>
      <c r="U8" s="1141"/>
      <c r="V8" s="1141"/>
      <c r="W8" s="1141"/>
      <c r="X8" s="1141"/>
      <c r="Y8" s="1145"/>
      <c r="Z8" s="1126"/>
      <c r="AA8" s="1133"/>
      <c r="AB8" s="1126"/>
      <c r="AC8" s="1126"/>
      <c r="AD8" s="1126"/>
    </row>
    <row r="9" customFormat="false" ht="9" hidden="false" customHeight="true" outlineLevel="0" collapsed="false">
      <c r="A9" s="1143"/>
      <c r="B9" s="1143"/>
      <c r="C9" s="1141"/>
      <c r="D9" s="1141"/>
      <c r="E9" s="1141"/>
      <c r="F9" s="1141"/>
      <c r="G9" s="1141"/>
      <c r="H9" s="1141"/>
      <c r="I9" s="1141"/>
      <c r="J9" s="1141"/>
      <c r="K9" s="1141"/>
      <c r="L9" s="1141"/>
      <c r="M9" s="1141"/>
      <c r="N9" s="1141"/>
      <c r="O9" s="1141"/>
      <c r="P9" s="1141"/>
      <c r="Q9" s="1141"/>
      <c r="R9" s="1141"/>
      <c r="S9" s="1141"/>
      <c r="T9" s="1141"/>
      <c r="U9" s="1141"/>
      <c r="V9" s="1141"/>
      <c r="W9" s="1141"/>
      <c r="X9" s="1141"/>
      <c r="Y9" s="1145"/>
      <c r="Z9" s="1126"/>
      <c r="AA9" s="1133"/>
      <c r="AB9" s="1126"/>
      <c r="AC9" s="1126"/>
      <c r="AD9" s="1126"/>
    </row>
    <row r="10" customFormat="false" ht="9" hidden="false" customHeight="true" outlineLevel="0" collapsed="false">
      <c r="A10" s="1146"/>
      <c r="B10" s="1146"/>
      <c r="C10" s="1146"/>
      <c r="D10" s="1146"/>
      <c r="E10" s="1146"/>
      <c r="F10" s="1146"/>
      <c r="G10" s="1146"/>
      <c r="H10" s="1146"/>
      <c r="I10" s="1146"/>
      <c r="J10" s="1146"/>
      <c r="K10" s="1146"/>
      <c r="L10" s="1146"/>
      <c r="M10" s="1146"/>
      <c r="N10" s="1146"/>
      <c r="O10" s="1146"/>
      <c r="P10" s="1146"/>
      <c r="Q10" s="1146"/>
      <c r="R10" s="1146"/>
      <c r="S10" s="1146"/>
      <c r="T10" s="1146"/>
      <c r="U10" s="1146"/>
      <c r="V10" s="1146"/>
      <c r="W10" s="1146"/>
      <c r="X10" s="1146"/>
      <c r="Y10" s="1146"/>
      <c r="Z10" s="1146"/>
      <c r="AA10" s="1146"/>
      <c r="AB10" s="1146"/>
      <c r="AC10" s="1146"/>
      <c r="AD10" s="1146"/>
    </row>
    <row r="11" customFormat="false" ht="45" hidden="false" customHeight="true" outlineLevel="0" collapsed="false">
      <c r="A11" s="1146" t="s">
        <v>28</v>
      </c>
      <c r="B11" s="1146" t="n">
        <v>1</v>
      </c>
      <c r="C11" s="1137" t="s">
        <v>1493</v>
      </c>
      <c r="D11" s="1137" t="s">
        <v>1489</v>
      </c>
      <c r="E11" s="1137" t="s">
        <v>1587</v>
      </c>
      <c r="F11" s="1137" t="s">
        <v>1956</v>
      </c>
      <c r="G11" s="1137"/>
      <c r="H11" s="1137" t="s">
        <v>1957</v>
      </c>
      <c r="I11" s="1137"/>
      <c r="J11" s="1137"/>
      <c r="K11" s="1137"/>
      <c r="L11" s="1137"/>
      <c r="M11" s="1144" t="str">
        <f aca="false">IF(TEMPLATE_SPHERE="HEAT",T11,U11)</f>
        <v>Количество поданных заявлений</v>
      </c>
      <c r="N11" s="1144" t="str">
        <f aca="false">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141"/>
      <c r="P11" s="1141"/>
      <c r="Q11" s="1141"/>
      <c r="R11" s="1141"/>
      <c r="S11" s="1141"/>
      <c r="T11" s="1141" t="s">
        <v>1958</v>
      </c>
      <c r="U11" s="1141" t="s">
        <v>1959</v>
      </c>
      <c r="V11" s="1141"/>
      <c r="W11" s="1141"/>
      <c r="X11" s="1141"/>
      <c r="Y11" s="1145"/>
      <c r="Z11" s="1126" t="s">
        <v>1960</v>
      </c>
      <c r="AA11" s="1133"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126"/>
      <c r="AC11" s="1126"/>
      <c r="AD11" s="1126"/>
    </row>
    <row r="12" customFormat="false" ht="45" hidden="false" customHeight="true" outlineLevel="0" collapsed="false">
      <c r="A12" s="1146"/>
      <c r="B12" s="1146" t="n">
        <v>2</v>
      </c>
      <c r="C12" s="1137"/>
      <c r="D12" s="1137"/>
      <c r="E12" s="1137"/>
      <c r="F12" s="1137"/>
      <c r="G12" s="1137"/>
      <c r="H12" s="1137" t="s">
        <v>1961</v>
      </c>
      <c r="I12" s="1137"/>
      <c r="J12" s="1137"/>
      <c r="K12" s="1137"/>
      <c r="L12" s="1137"/>
      <c r="M12" s="1144" t="str">
        <f aca="false">IF(TEMPLATE_SPHERE="HEAT",T12,U12)</f>
        <v>Количество исполненных заявлений</v>
      </c>
      <c r="N12" s="1144" t="str">
        <f aca="false">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141"/>
      <c r="P12" s="1141"/>
      <c r="Q12" s="1141"/>
      <c r="R12" s="1141"/>
      <c r="S12" s="1141"/>
      <c r="T12" s="1141" t="s">
        <v>1962</v>
      </c>
      <c r="U12" s="1141" t="s">
        <v>1963</v>
      </c>
      <c r="V12" s="1141"/>
      <c r="W12" s="1141"/>
      <c r="X12" s="1141"/>
      <c r="Y12" s="1145"/>
      <c r="Z12" s="1126" t="s">
        <v>1964</v>
      </c>
      <c r="AA12" s="1133"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126"/>
      <c r="AC12" s="1126"/>
      <c r="AD12" s="1126"/>
    </row>
    <row r="13" customFormat="false" ht="72" hidden="false" customHeight="true" outlineLevel="0" collapsed="false">
      <c r="A13" s="1146"/>
      <c r="B13" s="1146" t="n">
        <v>3</v>
      </c>
      <c r="C13" s="1137"/>
      <c r="D13" s="1137"/>
      <c r="E13" s="1137"/>
      <c r="F13" s="1137"/>
      <c r="G13" s="1137"/>
      <c r="H13" s="1137" t="s">
        <v>1965</v>
      </c>
      <c r="I13" s="1137"/>
      <c r="J13" s="1137"/>
      <c r="K13" s="1137"/>
      <c r="L13" s="1137"/>
      <c r="M13" s="1144" t="str">
        <f aca="false">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44" t="str">
        <f aca="false">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141"/>
      <c r="P13" s="1144"/>
      <c r="Q13" s="1144"/>
      <c r="R13" s="1144"/>
      <c r="S13" s="1141"/>
      <c r="T13" s="1141" t="s">
        <v>1966</v>
      </c>
      <c r="U13" s="1144" t="s">
        <v>1967</v>
      </c>
      <c r="V13" s="1144"/>
      <c r="W13" s="1144"/>
      <c r="X13" s="1141"/>
      <c r="Y13" s="1145"/>
      <c r="Z13" s="1126" t="s">
        <v>1968</v>
      </c>
      <c r="AA13" s="1133"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126"/>
      <c r="AC13" s="1126"/>
      <c r="AD13" s="1126"/>
    </row>
    <row r="14" customFormat="false" ht="45" hidden="false" customHeight="true" outlineLevel="0" collapsed="false">
      <c r="A14" s="1146"/>
      <c r="B14" s="1146" t="n">
        <v>4</v>
      </c>
      <c r="C14" s="1137"/>
      <c r="D14" s="1137"/>
      <c r="E14" s="1137"/>
      <c r="F14" s="1137"/>
      <c r="G14" s="1137"/>
      <c r="H14" s="1137"/>
      <c r="I14" s="1147"/>
      <c r="J14" s="1147"/>
      <c r="K14" s="1147"/>
      <c r="L14" s="1147"/>
      <c r="M14" s="1148" t="str">
        <f aca="false">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144"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41"/>
      <c r="P14" s="1144"/>
      <c r="Q14" s="1144"/>
      <c r="R14" s="1144"/>
      <c r="S14" s="1141"/>
      <c r="T14" s="1141" t="s">
        <v>1969</v>
      </c>
      <c r="U14" s="1144"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144"/>
      <c r="W14" s="1144"/>
      <c r="X14" s="1141"/>
      <c r="Y14" s="1145"/>
      <c r="Z14" s="1126" t="s">
        <v>1970</v>
      </c>
      <c r="AA14" s="1133" t="s">
        <v>1970</v>
      </c>
      <c r="AB14" s="1126"/>
      <c r="AC14" s="1126"/>
      <c r="AD14" s="1126"/>
    </row>
    <row r="15" customFormat="false" ht="108" hidden="false" customHeight="true" outlineLevel="0" collapsed="false">
      <c r="A15" s="1146"/>
      <c r="B15" s="1146" t="n">
        <v>5</v>
      </c>
      <c r="C15" s="1137"/>
      <c r="D15" s="1137"/>
      <c r="E15" s="1137"/>
      <c r="F15" s="1137"/>
      <c r="G15" s="1137"/>
      <c r="H15" s="1149" t="s">
        <v>1971</v>
      </c>
      <c r="I15" s="1150"/>
      <c r="J15" s="1150"/>
      <c r="K15" s="1150"/>
      <c r="L15" s="1150"/>
      <c r="M15" s="1133" t="str">
        <f aca="false">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151" t="str">
        <f aca="false">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141"/>
      <c r="P15" s="1144"/>
      <c r="Q15" s="1144"/>
      <c r="R15" s="1144"/>
      <c r="S15" s="1141"/>
      <c r="T15" s="1141" t="s">
        <v>1972</v>
      </c>
      <c r="U15" s="1144"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144"/>
      <c r="W15" s="1144"/>
      <c r="X15" s="1141"/>
      <c r="Y15" s="1145"/>
      <c r="Z15" s="1126" t="s">
        <v>1973</v>
      </c>
      <c r="AA15" s="1133"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126"/>
      <c r="AC15" s="1126"/>
      <c r="AD15" s="1126"/>
    </row>
    <row r="16" customFormat="false" ht="108" hidden="false" customHeight="true" outlineLevel="0" collapsed="false">
      <c r="A16" s="1146"/>
      <c r="B16" s="1146" t="n">
        <v>6</v>
      </c>
      <c r="C16" s="1137"/>
      <c r="D16" s="1137"/>
      <c r="E16" s="1137"/>
      <c r="F16" s="1137"/>
      <c r="G16" s="1137"/>
      <c r="H16" s="1149"/>
      <c r="I16" s="1152"/>
      <c r="J16" s="1152"/>
      <c r="K16" s="1152"/>
      <c r="L16" s="1152"/>
      <c r="M16" s="1153"/>
      <c r="N16" s="1151" t="str">
        <f aca="false">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141"/>
      <c r="P16" s="1144"/>
      <c r="Q16" s="1144"/>
      <c r="R16" s="1144"/>
      <c r="S16" s="1141"/>
      <c r="T16" s="1141"/>
      <c r="U16" s="1144"/>
      <c r="V16" s="1144"/>
      <c r="W16" s="1144"/>
      <c r="X16" s="1141"/>
      <c r="Y16" s="1145"/>
      <c r="Z16" s="1126" t="s">
        <v>1973</v>
      </c>
      <c r="AA16" s="1133"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126"/>
      <c r="AC16" s="1126"/>
      <c r="AD16" s="1126"/>
    </row>
    <row r="17" customFormat="false" ht="9" hidden="false" customHeight="true" outlineLevel="0" collapsed="false">
      <c r="A17" s="1146"/>
      <c r="B17" s="1146"/>
      <c r="C17" s="1146" t="n">
        <v>22</v>
      </c>
      <c r="D17" s="1146" t="n">
        <v>21</v>
      </c>
      <c r="E17" s="1146" t="n">
        <v>42</v>
      </c>
      <c r="F17" s="1146" t="n">
        <v>63</v>
      </c>
      <c r="G17" s="1146"/>
      <c r="H17" s="1146"/>
      <c r="I17" s="1146"/>
      <c r="J17" s="1146"/>
      <c r="K17" s="1146"/>
      <c r="L17" s="1146"/>
      <c r="M17" s="1146"/>
      <c r="N17" s="1146"/>
      <c r="O17" s="1146"/>
      <c r="P17" s="1146"/>
      <c r="Q17" s="1146"/>
      <c r="R17" s="1146"/>
      <c r="S17" s="1146"/>
      <c r="T17" s="1146"/>
      <c r="U17" s="1146"/>
      <c r="V17" s="1146"/>
      <c r="W17" s="1146"/>
      <c r="X17" s="1146"/>
      <c r="Y17" s="1146"/>
      <c r="Z17" s="1146"/>
      <c r="AA17" s="1146"/>
      <c r="AB17" s="1146"/>
      <c r="AC17" s="1146"/>
      <c r="AD17" s="1146"/>
    </row>
    <row r="18" customFormat="false" ht="27" hidden="false" customHeight="true" outlineLevel="0" collapsed="false">
      <c r="A18" s="1143" t="s">
        <v>1590</v>
      </c>
      <c r="B18" s="1146" t="n">
        <v>1</v>
      </c>
      <c r="C18" s="1141" t="s">
        <v>1957</v>
      </c>
      <c r="D18" s="1154" t="s">
        <v>1957</v>
      </c>
      <c r="E18" s="1141" t="s">
        <v>1957</v>
      </c>
      <c r="F18" s="1141" t="s">
        <v>1957</v>
      </c>
      <c r="G18" s="1141"/>
      <c r="H18" s="1155"/>
      <c r="I18" s="1156" t="n">
        <f aca="false">INDEX(TEMPLATE_NUMBER_POINT_FHD,B18,MATCH(TEMPLATE_SPHERE,TEMPLATE_SPHERE_LIST_FOR_NOTE,0))</f>
        <v>1</v>
      </c>
      <c r="J18" s="1156" t="str">
        <f aca="false">INDEX(TEMPLATE_DATA_POINT_FHD,B18,MATCH(TEMPLATE_SPHERE,TEMPLATE_SPHERE_LIST_FOR_NOTE,0))</f>
        <v>Выручка от регулируемых видов деятельности в сфере горячего водоснабжения</v>
      </c>
      <c r="K18" s="1156" t="str">
        <f aca="false">INDEX(TEMPLATE_NOTE_POINT_FHD,B18,MATCH(TEMPLATE_SPHERE,TEMPLATE_SPHERE_LIST_FOR_NOTE,0))</f>
        <v>Указывается выручка с распределением по видам деятельности.</v>
      </c>
      <c r="L18" s="1144" t="n">
        <f aca="false">IF(I18=0,"",I18)</f>
        <v>1</v>
      </c>
      <c r="M18" s="1144" t="str">
        <f aca="false">IF(J18=0,"",J18)</f>
        <v>Выручка от регулируемых видов деятельности в сфере горячего водоснабжения</v>
      </c>
      <c r="N18" s="1144" t="str">
        <f aca="false">IF(K18=0,"",K18)</f>
        <v>Указывается выручка с распределением по видам деятельности.</v>
      </c>
      <c r="O18" s="1157" t="n">
        <v>1</v>
      </c>
      <c r="P18" s="1157" t="n">
        <v>1</v>
      </c>
      <c r="Q18" s="1157" t="n">
        <v>1</v>
      </c>
      <c r="R18" s="1157" t="n">
        <v>1</v>
      </c>
      <c r="S18" s="1157"/>
      <c r="T18" s="1158" t="s">
        <v>1974</v>
      </c>
      <c r="U18" s="1126" t="s">
        <v>1975</v>
      </c>
      <c r="V18" s="1126" t="s">
        <v>1976</v>
      </c>
      <c r="W18" s="1126" t="s">
        <v>1977</v>
      </c>
      <c r="X18" s="1141"/>
      <c r="Y18" s="1145"/>
      <c r="Z18" s="1126" t="s">
        <v>1978</v>
      </c>
      <c r="AA18" s="1133" t="s">
        <v>1979</v>
      </c>
      <c r="AB18" s="1133" t="s">
        <v>1979</v>
      </c>
      <c r="AC18" s="1133" t="s">
        <v>1979</v>
      </c>
      <c r="AD18" s="1126"/>
    </row>
    <row r="19" customFormat="false" ht="36" hidden="false" customHeight="true" outlineLevel="0" collapsed="false">
      <c r="A19" s="1143"/>
      <c r="B19" s="1146" t="n">
        <v>2</v>
      </c>
      <c r="C19" s="1141" t="s">
        <v>1961</v>
      </c>
      <c r="D19" s="1154" t="s">
        <v>1961</v>
      </c>
      <c r="E19" s="1141" t="s">
        <v>1961</v>
      </c>
      <c r="F19" s="1141" t="s">
        <v>1961</v>
      </c>
      <c r="G19" s="1141"/>
      <c r="H19" s="1155"/>
      <c r="I19" s="1156" t="n">
        <f aca="false">INDEX(TEMPLATE_NUMBER_POINT_FHD,B19,MATCH(TEMPLATE_SPHERE,TEMPLATE_SPHERE_LIST_FOR_NOTE,0))</f>
        <v>2</v>
      </c>
      <c r="J19" s="1156" t="str">
        <f aca="false">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56" t="str">
        <f aca="false">INDEX(TEMPLATE_NOTE_POINT_FHD,B19,MATCH(TEMPLATE_SPHERE,TEMPLATE_SPHERE_LIST_FOR_NOTE,0))</f>
        <v>Указывается суммарная себестоимость производимых товаров.</v>
      </c>
      <c r="L19" s="1144" t="n">
        <f aca="false">IF(I19=0,"",I19)</f>
        <v>2</v>
      </c>
      <c r="M19" s="1144" t="str">
        <f aca="false">IF(J19=0,"",J19)</f>
        <v>Себестоимость производимых товаров (оказываемых услуг) по регулируемым видам деятельности в сфере горячего водоснабжения, включая:</v>
      </c>
      <c r="N19" s="1144" t="str">
        <f aca="false">IF(K19=0,"",K19)</f>
        <v>Указывается суммарная себестоимость производимых товаров.</v>
      </c>
      <c r="O19" s="1157" t="n">
        <v>2</v>
      </c>
      <c r="P19" s="1157" t="n">
        <v>2</v>
      </c>
      <c r="Q19" s="1157" t="n">
        <v>2</v>
      </c>
      <c r="R19" s="1157" t="n">
        <v>2</v>
      </c>
      <c r="S19" s="1157"/>
      <c r="T19" s="1158" t="s">
        <v>1980</v>
      </c>
      <c r="U19" s="1126" t="s">
        <v>1981</v>
      </c>
      <c r="V19" s="1126" t="s">
        <v>1982</v>
      </c>
      <c r="W19" s="1126" t="s">
        <v>1983</v>
      </c>
      <c r="X19" s="1141"/>
      <c r="Y19" s="1145"/>
      <c r="Z19" s="1126" t="s">
        <v>1984</v>
      </c>
      <c r="AA19" s="1133" t="s">
        <v>1984</v>
      </c>
      <c r="AB19" s="1133" t="s">
        <v>1984</v>
      </c>
      <c r="AC19" s="1133" t="s">
        <v>1984</v>
      </c>
      <c r="AD19" s="1126"/>
    </row>
    <row r="20" customFormat="false" ht="27" hidden="false" customHeight="true" outlineLevel="0" collapsed="false">
      <c r="A20" s="1143"/>
      <c r="B20" s="1146" t="n">
        <v>3</v>
      </c>
      <c r="C20" s="1141" t="n">
        <v>1</v>
      </c>
      <c r="D20" s="1154"/>
      <c r="E20" s="1141"/>
      <c r="F20" s="1141"/>
      <c r="G20" s="1141"/>
      <c r="H20" s="1155"/>
      <c r="I20" s="1156" t="str">
        <f aca="false">INDEX(TEMPLATE_NUMBER_POINT_FHD,B20,MATCH(TEMPLATE_SPHERE,TEMPLATE_SPHERE_LIST_FOR_NOTE,0))</f>
        <v>2.1</v>
      </c>
      <c r="J20" s="1156" t="str">
        <f aca="false">INDEX(TEMPLATE_DATA_POINT_FHD,B20,MATCH(TEMPLATE_SPHERE,TEMPLATE_SPHERE_LIST_FOR_NOTE,0))</f>
        <v>Расходы на приобретаемую тепловую энергию (мощность), используемую для горячего водоснабжения</v>
      </c>
      <c r="K20" s="1156" t="n">
        <f aca="false">INDEX(TEMPLATE_NOTE_POINT_FHD,B20,MATCH(TEMPLATE_SPHERE,TEMPLATE_SPHERE_LIST_FOR_NOTE,0))</f>
        <v>0</v>
      </c>
      <c r="L20" s="1144" t="str">
        <f aca="false">IF(I20=0,"",I20)</f>
        <v>2.1</v>
      </c>
      <c r="M20" s="1144" t="str">
        <f aca="false">IF(J20=0,"",J20)</f>
        <v>Расходы на приобретаемую тепловую энергию (мощность), используемую для горячего водоснабжения</v>
      </c>
      <c r="N20" s="1144" t="str">
        <f aca="false">IF(K20=0,"",K20)</f>
        <v/>
      </c>
      <c r="O20" s="1157" t="s">
        <v>643</v>
      </c>
      <c r="P20" s="1157" t="s">
        <v>643</v>
      </c>
      <c r="Q20" s="1157" t="s">
        <v>643</v>
      </c>
      <c r="R20" s="1157" t="s">
        <v>643</v>
      </c>
      <c r="S20" s="1157"/>
      <c r="T20" s="1158" t="s">
        <v>1985</v>
      </c>
      <c r="U20" s="1126" t="s">
        <v>1986</v>
      </c>
      <c r="V20" s="1126" t="s">
        <v>1987</v>
      </c>
      <c r="W20" s="1126" t="s">
        <v>1988</v>
      </c>
      <c r="X20" s="1141"/>
      <c r="Y20" s="1145"/>
      <c r="Z20" s="1126"/>
      <c r="AA20" s="1133"/>
      <c r="AB20" s="1126"/>
      <c r="AC20" s="1126"/>
      <c r="AD20" s="1126"/>
    </row>
    <row r="21" customFormat="false" ht="36" hidden="false" customHeight="true" outlineLevel="0" collapsed="false">
      <c r="A21" s="1143"/>
      <c r="B21" s="1146" t="n">
        <v>4</v>
      </c>
      <c r="C21" s="1141" t="n">
        <v>2</v>
      </c>
      <c r="D21" s="1154"/>
      <c r="E21" s="1141"/>
      <c r="F21" s="1141"/>
      <c r="G21" s="1141"/>
      <c r="H21" s="1155"/>
      <c r="I21" s="1156" t="n">
        <f aca="false">INDEX(TEMPLATE_NUMBER_POINT_FHD,B21,MATCH(TEMPLATE_SPHERE,TEMPLATE_SPHERE_LIST_FOR_NOTE,0))</f>
        <v>0</v>
      </c>
      <c r="J21" s="1156" t="n">
        <f aca="false">INDEX(TEMPLATE_DATA_POINT_FHD,B21,MATCH(TEMPLATE_SPHERE,TEMPLATE_SPHERE_LIST_FOR_NOTE,0))</f>
        <v>0</v>
      </c>
      <c r="K21" s="1156" t="n">
        <f aca="false">INDEX(TEMPLATE_NOTE_POINT_FHD,B21,MATCH(TEMPLATE_SPHERE,TEMPLATE_SPHERE_LIST_FOR_NOTE,0))</f>
        <v>0</v>
      </c>
      <c r="L21" s="1144" t="str">
        <f aca="false">IF(I21=0,"",I21)</f>
        <v/>
      </c>
      <c r="M21" s="1144" t="str">
        <f aca="false">IF(J21=0,"",J21)</f>
        <v/>
      </c>
      <c r="N21" s="1144" t="str">
        <f aca="false">IF(K21=0,"",K21)</f>
        <v/>
      </c>
      <c r="O21" s="1157" t="s">
        <v>323</v>
      </c>
      <c r="P21" s="1157"/>
      <c r="Q21" s="1157"/>
      <c r="R21" s="1157"/>
      <c r="S21" s="1157"/>
      <c r="T21" s="1158" t="s">
        <v>1989</v>
      </c>
      <c r="U21" s="1126"/>
      <c r="V21" s="1126"/>
      <c r="W21" s="1126"/>
      <c r="X21" s="1141"/>
      <c r="Y21" s="1145"/>
      <c r="Z21" s="1126" t="s">
        <v>1990</v>
      </c>
      <c r="AA21" s="1133"/>
      <c r="AB21" s="1126"/>
      <c r="AC21" s="1126"/>
      <c r="AD21" s="1126"/>
    </row>
    <row r="22" customFormat="false" ht="36" hidden="false" customHeight="true" outlineLevel="0" collapsed="false">
      <c r="A22" s="1143"/>
      <c r="B22" s="1146" t="n">
        <v>5</v>
      </c>
      <c r="C22" s="1141" t="n">
        <v>3</v>
      </c>
      <c r="D22" s="1154"/>
      <c r="E22" s="1141"/>
      <c r="F22" s="1141"/>
      <c r="G22" s="1159"/>
      <c r="H22" s="1160"/>
      <c r="I22" s="1156" t="str">
        <f aca="false">INDEX(TEMPLATE_NUMBER_POINT_FHD,B22,MATCH(TEMPLATE_SPHERE,TEMPLATE_SPHERE_LIST_FOR_NOTE,0))</f>
        <v>2.2</v>
      </c>
      <c r="J22" s="1156" t="str">
        <f aca="false">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56" t="n">
        <f aca="false">INDEX(TEMPLATE_NOTE_POINT_FHD,B22,MATCH(TEMPLATE_SPHERE,TEMPLATE_SPHERE_LIST_FOR_NOTE,0))</f>
        <v>0</v>
      </c>
      <c r="L22" s="1144" t="str">
        <f aca="false">IF(I22=0,"",I22)</f>
        <v>2.2</v>
      </c>
      <c r="M22" s="1144" t="str">
        <f aca="false">IF(J22=0,"",J22)</f>
        <v>Расходы на тепловую энергию, производимую с применением собственных источников и используемую для горячего водоснабжения</v>
      </c>
      <c r="N22" s="1144" t="str">
        <f aca="false">IF(K22=0,"",K22)</f>
        <v/>
      </c>
      <c r="O22" s="1157"/>
      <c r="P22" s="1157"/>
      <c r="Q22" s="1157" t="s">
        <v>323</v>
      </c>
      <c r="R22" s="1157"/>
      <c r="S22" s="1157"/>
      <c r="T22" s="1158"/>
      <c r="U22" s="1126"/>
      <c r="V22" s="1126" t="s">
        <v>1991</v>
      </c>
      <c r="W22" s="1126"/>
      <c r="X22" s="1141"/>
      <c r="Y22" s="1145"/>
      <c r="Z22" s="1126"/>
      <c r="AA22" s="1133"/>
      <c r="AB22" s="1126"/>
      <c r="AC22" s="1126"/>
      <c r="AD22" s="1126"/>
    </row>
    <row r="23" customFormat="false" ht="27" hidden="false" customHeight="true" outlineLevel="0" collapsed="false">
      <c r="A23" s="1143"/>
      <c r="B23" s="1146" t="n">
        <v>6</v>
      </c>
      <c r="C23" s="1141" t="n">
        <v>4</v>
      </c>
      <c r="D23" s="1154"/>
      <c r="E23" s="1141"/>
      <c r="F23" s="1141"/>
      <c r="G23" s="1159"/>
      <c r="H23" s="1160"/>
      <c r="I23" s="1156" t="str">
        <f aca="false">INDEX(TEMPLATE_NUMBER_POINT_FHD,B23,MATCH(TEMPLATE_SPHERE,TEMPLATE_SPHERE_LIST_FOR_NOTE,0))</f>
        <v>2.3</v>
      </c>
      <c r="J23" s="1156" t="str">
        <f aca="false">INDEX(TEMPLATE_DATA_POINT_FHD,B23,MATCH(TEMPLATE_SPHERE,TEMPLATE_SPHERE_LIST_FOR_NOTE,0))</f>
        <v>Расходы на приобретаемую холодную воду, используемую для горячего водоснабжения</v>
      </c>
      <c r="K23" s="1156" t="n">
        <f aca="false">INDEX(TEMPLATE_NOTE_POINT_FHD,B23,MATCH(TEMPLATE_SPHERE,TEMPLATE_SPHERE_LIST_FOR_NOTE,0))</f>
        <v>0</v>
      </c>
      <c r="L23" s="1144" t="str">
        <f aca="false">IF(I23=0,"",I23)</f>
        <v>2.3</v>
      </c>
      <c r="M23" s="1144" t="str">
        <f aca="false">IF(J23=0,"",J23)</f>
        <v>Расходы на приобретаемую холодную воду, используемую для горячего водоснабжения</v>
      </c>
      <c r="N23" s="1144" t="str">
        <f aca="false">IF(K23=0,"",K23)</f>
        <v/>
      </c>
      <c r="O23" s="1157"/>
      <c r="P23" s="1157"/>
      <c r="Q23" s="1157" t="s">
        <v>326</v>
      </c>
      <c r="R23" s="1157"/>
      <c r="S23" s="1157"/>
      <c r="T23" s="1158"/>
      <c r="U23" s="1126"/>
      <c r="V23" s="1126" t="s">
        <v>1992</v>
      </c>
      <c r="W23" s="1126"/>
      <c r="X23" s="1141"/>
      <c r="Y23" s="1145"/>
      <c r="Z23" s="1126"/>
      <c r="AA23" s="1133"/>
      <c r="AB23" s="1126"/>
      <c r="AC23" s="1126"/>
      <c r="AD23" s="1126"/>
    </row>
    <row r="24" customFormat="false" ht="36" hidden="false" customHeight="true" outlineLevel="0" collapsed="false">
      <c r="A24" s="1143"/>
      <c r="B24" s="1146" t="n">
        <v>7</v>
      </c>
      <c r="C24" s="1141" t="n">
        <v>5</v>
      </c>
      <c r="D24" s="1154"/>
      <c r="E24" s="1141"/>
      <c r="F24" s="1141"/>
      <c r="G24" s="1159"/>
      <c r="H24" s="1160"/>
      <c r="I24" s="1156" t="str">
        <f aca="false">INDEX(TEMPLATE_NUMBER_POINT_FHD,B24,MATCH(TEMPLATE_SPHERE,TEMPLATE_SPHERE_LIST_FOR_NOTE,0))</f>
        <v>2.4</v>
      </c>
      <c r="J24" s="1156" t="str">
        <f aca="false">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56" t="n">
        <f aca="false">INDEX(TEMPLATE_NOTE_POINT_FHD,B24,MATCH(TEMPLATE_SPHERE,TEMPLATE_SPHERE_LIST_FOR_NOTE,0))</f>
        <v>0</v>
      </c>
      <c r="L24" s="1144" t="str">
        <f aca="false">IF(I24=0,"",I24)</f>
        <v>2.4</v>
      </c>
      <c r="M24" s="1144" t="str">
        <f aca="false">IF(J24=0,"",J24)</f>
        <v>Расходы на холодную воду, получаемую с применением собственных источников водозабора (скважин) и используемую для горячего водоснабжения</v>
      </c>
      <c r="N24" s="1144" t="str">
        <f aca="false">IF(K24=0,"",K24)</f>
        <v/>
      </c>
      <c r="O24" s="1157"/>
      <c r="P24" s="1157"/>
      <c r="Q24" s="1157" t="s">
        <v>663</v>
      </c>
      <c r="R24" s="1157"/>
      <c r="S24" s="1157"/>
      <c r="T24" s="1158"/>
      <c r="U24" s="1126"/>
      <c r="V24" s="1126" t="s">
        <v>1993</v>
      </c>
      <c r="W24" s="1126"/>
      <c r="X24" s="1141"/>
      <c r="Y24" s="1145"/>
      <c r="Z24" s="1126"/>
      <c r="AA24" s="1133"/>
      <c r="AB24" s="1126"/>
      <c r="AC24" s="1126"/>
      <c r="AD24" s="1126"/>
    </row>
    <row r="25" customFormat="false" ht="36" hidden="false" customHeight="true" outlineLevel="0" collapsed="false">
      <c r="A25" s="1143"/>
      <c r="B25" s="1146" t="n">
        <v>8</v>
      </c>
      <c r="C25" s="1141" t="n">
        <v>6</v>
      </c>
      <c r="D25" s="1154"/>
      <c r="E25" s="1141"/>
      <c r="F25" s="1141"/>
      <c r="G25" s="1159"/>
      <c r="H25" s="1160"/>
      <c r="I25" s="1156" t="str">
        <f aca="false">INDEX(TEMPLATE_NUMBER_POINT_FHD,B25,MATCH(TEMPLATE_SPHERE,TEMPLATE_SPHERE_LIST_FOR_NOTE,0))</f>
        <v>2.5</v>
      </c>
      <c r="J25" s="1156"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156" t="n">
        <f aca="false">INDEX(TEMPLATE_NOTE_POINT_FHD,B25,MATCH(TEMPLATE_SPHERE,TEMPLATE_SPHERE_LIST_FOR_NOTE,0))</f>
        <v>0</v>
      </c>
      <c r="L25" s="1144" t="str">
        <f aca="false">IF(I25=0,"",I25)</f>
        <v>2.5</v>
      </c>
      <c r="M25" s="1144" t="str">
        <f aca="false">IF(J25=0,"",J25)</f>
        <v>Расходы на приобретаемую электрическую энергию (мощность), используемую в технологическом процессе</v>
      </c>
      <c r="N25" s="1144" t="str">
        <f aca="false">IF(K25=0,"",K25)</f>
        <v/>
      </c>
      <c r="O25" s="1157" t="s">
        <v>326</v>
      </c>
      <c r="P25" s="1157" t="s">
        <v>323</v>
      </c>
      <c r="Q25" s="1157" t="s">
        <v>670</v>
      </c>
      <c r="R25" s="1157" t="s">
        <v>323</v>
      </c>
      <c r="S25" s="1157"/>
      <c r="T25" s="1158" t="s">
        <v>1994</v>
      </c>
      <c r="U25" s="1126" t="s">
        <v>1994</v>
      </c>
      <c r="V25" s="1126" t="s">
        <v>1994</v>
      </c>
      <c r="W25" s="1126" t="s">
        <v>1994</v>
      </c>
      <c r="X25" s="1141"/>
      <c r="Y25" s="1145"/>
      <c r="Z25" s="1126"/>
      <c r="AA25" s="1133"/>
      <c r="AB25" s="1126"/>
      <c r="AC25" s="1126"/>
      <c r="AD25" s="1126"/>
    </row>
    <row r="26" customFormat="false" ht="18" hidden="false" customHeight="true" outlineLevel="0" collapsed="false">
      <c r="A26" s="1143"/>
      <c r="B26" s="1146" t="n">
        <v>9</v>
      </c>
      <c r="C26" s="1141" t="s">
        <v>842</v>
      </c>
      <c r="D26" s="1154"/>
      <c r="E26" s="1141"/>
      <c r="F26" s="1141"/>
      <c r="G26" s="1159"/>
      <c r="H26" s="1160"/>
      <c r="I26" s="1156" t="str">
        <f aca="false">INDEX(TEMPLATE_NUMBER_POINT_FHD,B26,MATCH(TEMPLATE_SPHERE,TEMPLATE_SPHERE_LIST_FOR_NOTE,0))</f>
        <v>2.5.1</v>
      </c>
      <c r="J26" s="1156" t="str">
        <f aca="false">INDEX(TEMPLATE_DATA_POINT_FHD,B26,MATCH(TEMPLATE_SPHERE,TEMPLATE_SPHERE_LIST_FOR_NOTE,0))</f>
        <v>Средневзвешенная стоимость 1 кВт.ч (с учетом мощности)</v>
      </c>
      <c r="K26" s="1156" t="n">
        <f aca="false">INDEX(TEMPLATE_NOTE_POINT_FHD,B26,MATCH(TEMPLATE_SPHERE,TEMPLATE_SPHERE_LIST_FOR_NOTE,0))</f>
        <v>0</v>
      </c>
      <c r="L26" s="1144" t="str">
        <f aca="false">IF(I26=0,"",I26)</f>
        <v>2.5.1</v>
      </c>
      <c r="M26" s="1144" t="str">
        <f aca="false">IF(J26=0,"",J26)</f>
        <v>Средневзвешенная стоимость 1 кВт.ч (с учетом мощности)</v>
      </c>
      <c r="N26" s="1144" t="str">
        <f aca="false">IF(K26=0,"",K26)</f>
        <v/>
      </c>
      <c r="O26" s="1157" t="s">
        <v>659</v>
      </c>
      <c r="P26" s="1157" t="s">
        <v>653</v>
      </c>
      <c r="Q26" s="1157" t="s">
        <v>1995</v>
      </c>
      <c r="R26" s="1157" t="s">
        <v>653</v>
      </c>
      <c r="S26" s="1157"/>
      <c r="T26" s="1158" t="s">
        <v>1996</v>
      </c>
      <c r="U26" s="1158" t="s">
        <v>1996</v>
      </c>
      <c r="V26" s="1158" t="s">
        <v>1996</v>
      </c>
      <c r="W26" s="1158" t="s">
        <v>1996</v>
      </c>
      <c r="X26" s="1141"/>
      <c r="Y26" s="1145"/>
      <c r="Z26" s="1126"/>
      <c r="AA26" s="1133"/>
      <c r="AB26" s="1126"/>
      <c r="AC26" s="1126"/>
      <c r="AD26" s="1126"/>
    </row>
    <row r="27" customFormat="false" ht="18" hidden="false" customHeight="true" outlineLevel="0" collapsed="false">
      <c r="A27" s="1143"/>
      <c r="B27" s="1146" t="n">
        <v>10</v>
      </c>
      <c r="C27" s="1141" t="s">
        <v>1997</v>
      </c>
      <c r="D27" s="1154"/>
      <c r="E27" s="1141"/>
      <c r="F27" s="1141"/>
      <c r="G27" s="1159"/>
      <c r="H27" s="1160"/>
      <c r="I27" s="1156" t="str">
        <f aca="false">INDEX(TEMPLATE_NUMBER_POINT_FHD,B27,MATCH(TEMPLATE_SPHERE,TEMPLATE_SPHERE_LIST_FOR_NOTE,0))</f>
        <v>2.5.2</v>
      </c>
      <c r="J27" s="1156" t="str">
        <f aca="false">INDEX(TEMPLATE_DATA_POINT_FHD,B27,MATCH(TEMPLATE_SPHERE,TEMPLATE_SPHERE_LIST_FOR_NOTE,0))</f>
        <v>Объём приобретения электрической энергии</v>
      </c>
      <c r="K27" s="1156" t="n">
        <f aca="false">INDEX(TEMPLATE_NOTE_POINT_FHD,B27,MATCH(TEMPLATE_SPHERE,TEMPLATE_SPHERE_LIST_FOR_NOTE,0))</f>
        <v>0</v>
      </c>
      <c r="L27" s="1144" t="str">
        <f aca="false">IF(I27=0,"",I27)</f>
        <v>2.5.2</v>
      </c>
      <c r="M27" s="1144" t="str">
        <f aca="false">IF(J27=0,"",J27)</f>
        <v>Объём приобретения электрической энергии</v>
      </c>
      <c r="N27" s="1144" t="str">
        <f aca="false">IF(K27=0,"",K27)</f>
        <v/>
      </c>
      <c r="O27" s="1157" t="s">
        <v>661</v>
      </c>
      <c r="P27" s="1157" t="s">
        <v>655</v>
      </c>
      <c r="Q27" s="1157" t="s">
        <v>1998</v>
      </c>
      <c r="R27" s="1157" t="s">
        <v>655</v>
      </c>
      <c r="S27" s="1157"/>
      <c r="T27" s="1158" t="s">
        <v>1999</v>
      </c>
      <c r="U27" s="1158" t="s">
        <v>1999</v>
      </c>
      <c r="V27" s="1158" t="s">
        <v>1999</v>
      </c>
      <c r="W27" s="1158" t="s">
        <v>1999</v>
      </c>
      <c r="X27" s="1141"/>
      <c r="Y27" s="1145"/>
      <c r="Z27" s="1126"/>
      <c r="AA27" s="1133"/>
      <c r="AB27" s="1126"/>
      <c r="AC27" s="1126"/>
      <c r="AD27" s="1126"/>
    </row>
    <row r="28" customFormat="false" ht="27" hidden="false" customHeight="true" outlineLevel="0" collapsed="false">
      <c r="A28" s="1143"/>
      <c r="B28" s="1146" t="n">
        <v>11</v>
      </c>
      <c r="C28" s="1141" t="n">
        <v>7</v>
      </c>
      <c r="D28" s="1154"/>
      <c r="E28" s="1141"/>
      <c r="F28" s="1141"/>
      <c r="G28" s="1159"/>
      <c r="H28" s="1160"/>
      <c r="I28" s="1156" t="n">
        <f aca="false">INDEX(TEMPLATE_NUMBER_POINT_FHD,B28,MATCH(TEMPLATE_SPHERE,TEMPLATE_SPHERE_LIST_FOR_NOTE,0))</f>
        <v>0</v>
      </c>
      <c r="J28" s="1156" t="n">
        <f aca="false">INDEX(TEMPLATE_DATA_POINT_FHD,B28,MATCH(TEMPLATE_SPHERE,TEMPLATE_SPHERE_LIST_FOR_NOTE,0))</f>
        <v>0</v>
      </c>
      <c r="K28" s="1156" t="n">
        <f aca="false">INDEX(TEMPLATE_NOTE_POINT_FHD,B28,MATCH(TEMPLATE_SPHERE,TEMPLATE_SPHERE_LIST_FOR_NOTE,0))</f>
        <v>0</v>
      </c>
      <c r="L28" s="1144" t="str">
        <f aca="false">IF(I28=0,"",I28)</f>
        <v/>
      </c>
      <c r="M28" s="1144" t="str">
        <f aca="false">IF(J28=0,"",J28)</f>
        <v/>
      </c>
      <c r="N28" s="1144" t="str">
        <f aca="false">IF(K28=0,"",K28)</f>
        <v/>
      </c>
      <c r="O28" s="1157" t="s">
        <v>663</v>
      </c>
      <c r="P28" s="1157"/>
      <c r="Q28" s="1157"/>
      <c r="R28" s="1157"/>
      <c r="S28" s="1157"/>
      <c r="T28" s="1158" t="s">
        <v>2000</v>
      </c>
      <c r="U28" s="1126"/>
      <c r="V28" s="1126"/>
      <c r="W28" s="1126"/>
      <c r="X28" s="1141"/>
      <c r="Y28" s="1145"/>
      <c r="Z28" s="1126"/>
      <c r="AA28" s="1133"/>
      <c r="AB28" s="1126"/>
      <c r="AC28" s="1126"/>
      <c r="AD28" s="1126"/>
    </row>
    <row r="29" customFormat="false" ht="27" hidden="false" customHeight="true" outlineLevel="0" collapsed="false">
      <c r="A29" s="1143"/>
      <c r="B29" s="1146" t="n">
        <v>12</v>
      </c>
      <c r="C29" s="1141" t="n">
        <v>8</v>
      </c>
      <c r="D29" s="1154"/>
      <c r="E29" s="1141"/>
      <c r="F29" s="1141"/>
      <c r="G29" s="1159"/>
      <c r="H29" s="1160"/>
      <c r="I29" s="1156" t="n">
        <f aca="false">INDEX(TEMPLATE_NUMBER_POINT_FHD,B29,MATCH(TEMPLATE_SPHERE,TEMPLATE_SPHERE_LIST_FOR_NOTE,0))</f>
        <v>0</v>
      </c>
      <c r="J29" s="1156" t="n">
        <f aca="false">INDEX(TEMPLATE_DATA_POINT_FHD,B29,MATCH(TEMPLATE_SPHERE,TEMPLATE_SPHERE_LIST_FOR_NOTE,0))</f>
        <v>0</v>
      </c>
      <c r="K29" s="1156" t="n">
        <f aca="false">INDEX(TEMPLATE_NOTE_POINT_FHD,B29,MATCH(TEMPLATE_SPHERE,TEMPLATE_SPHERE_LIST_FOR_NOTE,0))</f>
        <v>0</v>
      </c>
      <c r="L29" s="1144" t="str">
        <f aca="false">IF(I29=0,"",I29)</f>
        <v/>
      </c>
      <c r="M29" s="1144" t="str">
        <f aca="false">IF(J29=0,"",J29)</f>
        <v/>
      </c>
      <c r="N29" s="1144" t="str">
        <f aca="false">IF(K29=0,"",K29)</f>
        <v/>
      </c>
      <c r="O29" s="1157" t="s">
        <v>670</v>
      </c>
      <c r="P29" s="1157" t="s">
        <v>326</v>
      </c>
      <c r="Q29" s="1157"/>
      <c r="R29" s="1157" t="s">
        <v>326</v>
      </c>
      <c r="S29" s="1157"/>
      <c r="T29" s="1158" t="s">
        <v>2001</v>
      </c>
      <c r="U29" s="1126" t="s">
        <v>2001</v>
      </c>
      <c r="V29" s="1126"/>
      <c r="W29" s="1126" t="s">
        <v>2001</v>
      </c>
      <c r="X29" s="1141"/>
      <c r="Y29" s="1145"/>
      <c r="Z29" s="1126"/>
      <c r="AA29" s="1133"/>
      <c r="AB29" s="1126"/>
      <c r="AC29" s="1126"/>
      <c r="AD29" s="1126"/>
    </row>
    <row r="30" customFormat="false" ht="54" hidden="false" customHeight="true" outlineLevel="0" collapsed="false">
      <c r="A30" s="1143"/>
      <c r="B30" s="1146" t="n">
        <v>13</v>
      </c>
      <c r="C30" s="1141" t="n">
        <v>9</v>
      </c>
      <c r="D30" s="1154"/>
      <c r="E30" s="1141"/>
      <c r="F30" s="1141"/>
      <c r="G30" s="1159"/>
      <c r="H30" s="1160"/>
      <c r="I30" s="1156" t="str">
        <f aca="false">INDEX(TEMPLATE_NUMBER_POINT_FHD,B30,MATCH(TEMPLATE_SPHERE,TEMPLATE_SPHERE_LIST_FOR_NOTE,0))</f>
        <v>2.6</v>
      </c>
      <c r="J30" s="1156"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56" t="str">
        <f aca="false">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44" t="str">
        <f aca="false">IF(I30=0,"",I30)</f>
        <v>2.6</v>
      </c>
      <c r="M30" s="1144"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44" t="str">
        <f aca="false">IF(K30=0,"",K30)</f>
        <v>Указывается общая сумма расходов на оплату труда и отчислений на социальные нужды основного производственного персонала.</v>
      </c>
      <c r="O30" s="1157" t="s">
        <v>672</v>
      </c>
      <c r="P30" s="1157" t="s">
        <v>663</v>
      </c>
      <c r="Q30" s="1157" t="s">
        <v>672</v>
      </c>
      <c r="R30" s="1157" t="s">
        <v>663</v>
      </c>
      <c r="S30" s="1157"/>
      <c r="T30" s="1158" t="s">
        <v>2002</v>
      </c>
      <c r="U30" s="1126" t="s">
        <v>2002</v>
      </c>
      <c r="V30" s="1126" t="s">
        <v>2002</v>
      </c>
      <c r="W30" s="1126" t="s">
        <v>2002</v>
      </c>
      <c r="X30" s="1141"/>
      <c r="Y30" s="1145"/>
      <c r="Z30" s="1126"/>
      <c r="AA30" s="1133" t="s">
        <v>2003</v>
      </c>
      <c r="AB30" s="1133" t="s">
        <v>2003</v>
      </c>
      <c r="AC30" s="1133" t="s">
        <v>2003</v>
      </c>
      <c r="AD30" s="1126"/>
    </row>
    <row r="31" customFormat="false" ht="18" hidden="false" customHeight="true" outlineLevel="0" collapsed="false">
      <c r="A31" s="1143"/>
      <c r="B31" s="1146" t="n">
        <v>14</v>
      </c>
      <c r="C31" s="1141" t="s">
        <v>2004</v>
      </c>
      <c r="D31" s="1154"/>
      <c r="E31" s="1141"/>
      <c r="F31" s="1141"/>
      <c r="G31" s="1159"/>
      <c r="H31" s="1160"/>
      <c r="I31" s="1156" t="str">
        <f aca="false">INDEX(TEMPLATE_NUMBER_POINT_FHD,B31,MATCH(TEMPLATE_SPHERE,TEMPLATE_SPHERE_LIST_FOR_NOTE,0))</f>
        <v>2.6.1</v>
      </c>
      <c r="J31" s="1156" t="str">
        <f aca="false">INDEX(TEMPLATE_DATA_POINT_FHD,B31,MATCH(TEMPLATE_SPHERE,TEMPLATE_SPHERE_LIST_FOR_NOTE,0))</f>
        <v>Расходы на оплату труда основного производственного персонала</v>
      </c>
      <c r="K31" s="1156" t="n">
        <f aca="false">INDEX(TEMPLATE_NOTE_POINT_FHD,B31,MATCH(TEMPLATE_SPHERE,TEMPLATE_SPHERE_LIST_FOR_NOTE,0))</f>
        <v>0</v>
      </c>
      <c r="L31" s="1144" t="str">
        <f aca="false">IF(I31=0,"",I31)</f>
        <v>2.6.1</v>
      </c>
      <c r="M31" s="1144" t="str">
        <f aca="false">IF(J31=0,"",J31)</f>
        <v>Расходы на оплату труда основного производственного персонала</v>
      </c>
      <c r="N31" s="1144" t="str">
        <f aca="false">IF(K31=0,"",K31)</f>
        <v/>
      </c>
      <c r="O31" s="1157" t="s">
        <v>2005</v>
      </c>
      <c r="P31" s="1157" t="s">
        <v>666</v>
      </c>
      <c r="Q31" s="1157" t="s">
        <v>2005</v>
      </c>
      <c r="R31" s="1157" t="s">
        <v>666</v>
      </c>
      <c r="S31" s="1157"/>
      <c r="T31" s="1161" t="s">
        <v>2006</v>
      </c>
      <c r="U31" s="1126" t="s">
        <v>2006</v>
      </c>
      <c r="V31" s="1126" t="s">
        <v>2006</v>
      </c>
      <c r="W31" s="1126" t="s">
        <v>2006</v>
      </c>
      <c r="X31" s="1141"/>
      <c r="Y31" s="1145"/>
      <c r="Z31" s="1126"/>
      <c r="AA31" s="1133"/>
      <c r="AB31" s="1133"/>
      <c r="AC31" s="1133"/>
      <c r="AD31" s="1126"/>
    </row>
    <row r="32" customFormat="false" ht="36" hidden="false" customHeight="true" outlineLevel="0" collapsed="false">
      <c r="A32" s="1143"/>
      <c r="B32" s="1146" t="n">
        <v>15</v>
      </c>
      <c r="C32" s="1141" t="s">
        <v>2007</v>
      </c>
      <c r="D32" s="1154"/>
      <c r="E32" s="1141"/>
      <c r="F32" s="1141"/>
      <c r="G32" s="1159"/>
      <c r="H32" s="1160"/>
      <c r="I32" s="1156" t="str">
        <f aca="false">INDEX(TEMPLATE_NUMBER_POINT_FHD,B32,MATCH(TEMPLATE_SPHERE,TEMPLATE_SPHERE_LIST_FOR_NOTE,0))</f>
        <v>2.6.2</v>
      </c>
      <c r="J32" s="1156"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56" t="n">
        <f aca="false">INDEX(TEMPLATE_NOTE_POINT_FHD,B32,MATCH(TEMPLATE_SPHERE,TEMPLATE_SPHERE_LIST_FOR_NOTE,0))</f>
        <v>0</v>
      </c>
      <c r="L32" s="1144" t="str">
        <f aca="false">IF(I32=0,"",I32)</f>
        <v>2.6.2</v>
      </c>
      <c r="M32" s="1144"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144" t="str">
        <f aca="false">IF(K32=0,"",K32)</f>
        <v/>
      </c>
      <c r="O32" s="1157" t="s">
        <v>2008</v>
      </c>
      <c r="P32" s="1157" t="s">
        <v>668</v>
      </c>
      <c r="Q32" s="1157" t="s">
        <v>2008</v>
      </c>
      <c r="R32" s="1157" t="s">
        <v>668</v>
      </c>
      <c r="S32" s="1157"/>
      <c r="T32" s="1162" t="s">
        <v>2009</v>
      </c>
      <c r="U32" s="1126" t="s">
        <v>2009</v>
      </c>
      <c r="V32" s="1126" t="s">
        <v>2009</v>
      </c>
      <c r="W32" s="1126" t="s">
        <v>2009</v>
      </c>
      <c r="X32" s="1141"/>
      <c r="Y32" s="1145"/>
      <c r="Z32" s="1126"/>
      <c r="AA32" s="1133"/>
      <c r="AB32" s="1133"/>
      <c r="AC32" s="1133"/>
      <c r="AD32" s="1126"/>
    </row>
    <row r="33" customFormat="false" ht="45" hidden="false" customHeight="true" outlineLevel="0" collapsed="false">
      <c r="A33" s="1143"/>
      <c r="B33" s="1146" t="n">
        <v>16</v>
      </c>
      <c r="C33" s="1141" t="n">
        <v>10</v>
      </c>
      <c r="D33" s="1154"/>
      <c r="E33" s="1141"/>
      <c r="F33" s="1141"/>
      <c r="G33" s="1159"/>
      <c r="H33" s="1160"/>
      <c r="I33" s="1156" t="str">
        <f aca="false">INDEX(TEMPLATE_NUMBER_POINT_FHD,B33,MATCH(TEMPLATE_SPHERE,TEMPLATE_SPHERE_LIST_FOR_NOTE,0))</f>
        <v>2.7</v>
      </c>
      <c r="J33" s="1156"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56" t="str">
        <f aca="false">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44" t="str">
        <f aca="false">IF(I33=0,"",I33)</f>
        <v>2.7</v>
      </c>
      <c r="M33" s="1144"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44" t="str">
        <f aca="false">IF(K33=0,"",K33)</f>
        <v>Указывается общая сумма расходов на оплату труда и отчислений на социальные нужды административно-управленческого персонала.</v>
      </c>
      <c r="O33" s="1157" t="s">
        <v>674</v>
      </c>
      <c r="P33" s="1157" t="s">
        <v>670</v>
      </c>
      <c r="Q33" s="1157" t="s">
        <v>674</v>
      </c>
      <c r="R33" s="1157" t="s">
        <v>670</v>
      </c>
      <c r="S33" s="1157"/>
      <c r="T33" s="1161" t="s">
        <v>2010</v>
      </c>
      <c r="U33" s="1126" t="s">
        <v>2010</v>
      </c>
      <c r="V33" s="1126" t="s">
        <v>2010</v>
      </c>
      <c r="W33" s="1126" t="s">
        <v>2011</v>
      </c>
      <c r="X33" s="1141"/>
      <c r="Y33" s="1145"/>
      <c r="Z33" s="1126"/>
      <c r="AA33" s="1133" t="s">
        <v>2012</v>
      </c>
      <c r="AB33" s="1133" t="s">
        <v>2012</v>
      </c>
      <c r="AC33" s="1133" t="s">
        <v>2012</v>
      </c>
      <c r="AD33" s="1126"/>
    </row>
    <row r="34" customFormat="false" ht="27" hidden="false" customHeight="true" outlineLevel="0" collapsed="false">
      <c r="A34" s="1143"/>
      <c r="B34" s="1146" t="n">
        <v>17</v>
      </c>
      <c r="C34" s="1141" t="s">
        <v>2013</v>
      </c>
      <c r="D34" s="1154"/>
      <c r="E34" s="1141"/>
      <c r="F34" s="1141"/>
      <c r="G34" s="1159"/>
      <c r="H34" s="1160"/>
      <c r="I34" s="1156" t="str">
        <f aca="false">INDEX(TEMPLATE_NUMBER_POINT_FHD,B34,MATCH(TEMPLATE_SPHERE,TEMPLATE_SPHERE_LIST_FOR_NOTE,0))</f>
        <v>2.7.1</v>
      </c>
      <c r="J34" s="1156" t="str">
        <f aca="false">INDEX(TEMPLATE_DATA_POINT_FHD,B34,MATCH(TEMPLATE_SPHERE,TEMPLATE_SPHERE_LIST_FOR_NOTE,0))</f>
        <v>Расходы на оплату труда административно-управленческого персонала</v>
      </c>
      <c r="K34" s="1156" t="n">
        <f aca="false">INDEX(TEMPLATE_NOTE_POINT_FHD,B34,MATCH(TEMPLATE_SPHERE,TEMPLATE_SPHERE_LIST_FOR_NOTE,0))</f>
        <v>0</v>
      </c>
      <c r="L34" s="1144" t="str">
        <f aca="false">IF(I34=0,"",I34)</f>
        <v>2.7.1</v>
      </c>
      <c r="M34" s="1144" t="str">
        <f aca="false">IF(J34=0,"",J34)</f>
        <v>Расходы на оплату труда административно-управленческого персонала</v>
      </c>
      <c r="N34" s="1144" t="str">
        <f aca="false">IF(K34=0,"",K34)</f>
        <v/>
      </c>
      <c r="O34" s="1157" t="s">
        <v>2014</v>
      </c>
      <c r="P34" s="1157" t="s">
        <v>1995</v>
      </c>
      <c r="Q34" s="1157" t="s">
        <v>2014</v>
      </c>
      <c r="R34" s="1157" t="s">
        <v>1995</v>
      </c>
      <c r="S34" s="1157"/>
      <c r="T34" s="1162" t="s">
        <v>2015</v>
      </c>
      <c r="U34" s="1126" t="s">
        <v>2015</v>
      </c>
      <c r="V34" s="1126" t="s">
        <v>2015</v>
      </c>
      <c r="W34" s="1126" t="s">
        <v>2016</v>
      </c>
      <c r="X34" s="1141"/>
      <c r="Y34" s="1145"/>
      <c r="Z34" s="1126"/>
      <c r="AA34" s="1133"/>
      <c r="AB34" s="1126"/>
      <c r="AC34" s="1126"/>
      <c r="AD34" s="1126"/>
    </row>
    <row r="35" customFormat="false" ht="45" hidden="false" customHeight="true" outlineLevel="0" collapsed="false">
      <c r="A35" s="1143"/>
      <c r="B35" s="1146" t="n">
        <v>18</v>
      </c>
      <c r="C35" s="1141" t="s">
        <v>2017</v>
      </c>
      <c r="D35" s="1154"/>
      <c r="E35" s="1141"/>
      <c r="F35" s="1141"/>
      <c r="G35" s="1159"/>
      <c r="H35" s="1160"/>
      <c r="I35" s="1156" t="str">
        <f aca="false">INDEX(TEMPLATE_NUMBER_POINT_FHD,B35,MATCH(TEMPLATE_SPHERE,TEMPLATE_SPHERE_LIST_FOR_NOTE,0))</f>
        <v>2.7.2</v>
      </c>
      <c r="J35" s="1156"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56" t="n">
        <f aca="false">INDEX(TEMPLATE_NOTE_POINT_FHD,B35,MATCH(TEMPLATE_SPHERE,TEMPLATE_SPHERE_LIST_FOR_NOTE,0))</f>
        <v>0</v>
      </c>
      <c r="L35" s="1144" t="str">
        <f aca="false">IF(I35=0,"",I35)</f>
        <v>2.7.2</v>
      </c>
      <c r="M35" s="1144"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144" t="str">
        <f aca="false">IF(K35=0,"",K35)</f>
        <v/>
      </c>
      <c r="O35" s="1157" t="s">
        <v>2018</v>
      </c>
      <c r="P35" s="1157" t="s">
        <v>1998</v>
      </c>
      <c r="Q35" s="1157" t="s">
        <v>2018</v>
      </c>
      <c r="R35" s="1157" t="s">
        <v>1998</v>
      </c>
      <c r="S35" s="1157"/>
      <c r="T35" s="1158" t="s">
        <v>2019</v>
      </c>
      <c r="U35" s="1126" t="s">
        <v>2019</v>
      </c>
      <c r="V35" s="1126" t="s">
        <v>2019</v>
      </c>
      <c r="W35" s="1126" t="s">
        <v>2019</v>
      </c>
      <c r="X35" s="1141"/>
      <c r="Y35" s="1145"/>
      <c r="Z35" s="1126"/>
      <c r="AA35" s="1133"/>
      <c r="AB35" s="1126"/>
      <c r="AC35" s="1126"/>
      <c r="AD35" s="1126"/>
    </row>
    <row r="36" customFormat="false" ht="18" hidden="false" customHeight="true" outlineLevel="0" collapsed="false">
      <c r="A36" s="1143"/>
      <c r="B36" s="1146" t="n">
        <v>19</v>
      </c>
      <c r="C36" s="1141" t="n">
        <v>11</v>
      </c>
      <c r="D36" s="1154"/>
      <c r="E36" s="1141"/>
      <c r="F36" s="1141"/>
      <c r="G36" s="1159"/>
      <c r="H36" s="1160"/>
      <c r="I36" s="1156" t="str">
        <f aca="false">INDEX(TEMPLATE_NUMBER_POINT_FHD,B36,MATCH(TEMPLATE_SPHERE,TEMPLATE_SPHERE_LIST_FOR_NOTE,0))</f>
        <v>2.8</v>
      </c>
      <c r="J36" s="1156" t="str">
        <f aca="false">INDEX(TEMPLATE_DATA_POINT_FHD,B36,MATCH(TEMPLATE_SPHERE,TEMPLATE_SPHERE_LIST_FOR_NOTE,0))</f>
        <v>Расходы на амортизацию основных средств и нематериальных активов</v>
      </c>
      <c r="K36" s="1156" t="n">
        <f aca="false">INDEX(TEMPLATE_NOTE_POINT_FHD,B36,MATCH(TEMPLATE_SPHERE,TEMPLATE_SPHERE_LIST_FOR_NOTE,0))</f>
        <v>0</v>
      </c>
      <c r="L36" s="1144" t="str">
        <f aca="false">IF(I36=0,"",I36)</f>
        <v>2.8</v>
      </c>
      <c r="M36" s="1144" t="str">
        <f aca="false">IF(J36=0,"",J36)</f>
        <v>Расходы на амортизацию основных средств и нематериальных активов</v>
      </c>
      <c r="N36" s="1144" t="str">
        <f aca="false">IF(K36=0,"",K36)</f>
        <v/>
      </c>
      <c r="O36" s="1157" t="s">
        <v>676</v>
      </c>
      <c r="P36" s="1157" t="s">
        <v>672</v>
      </c>
      <c r="Q36" s="1157" t="s">
        <v>676</v>
      </c>
      <c r="R36" s="1157" t="s">
        <v>672</v>
      </c>
      <c r="S36" s="1157"/>
      <c r="T36" s="1158" t="s">
        <v>2020</v>
      </c>
      <c r="U36" s="1126" t="s">
        <v>2020</v>
      </c>
      <c r="V36" s="1126" t="s">
        <v>2020</v>
      </c>
      <c r="W36" s="1126" t="s">
        <v>2020</v>
      </c>
      <c r="X36" s="1141"/>
      <c r="Y36" s="1145"/>
      <c r="Z36" s="1126"/>
      <c r="AA36" s="1133"/>
      <c r="AB36" s="1126"/>
      <c r="AC36" s="1126"/>
      <c r="AD36" s="1126"/>
    </row>
    <row r="37" customFormat="false" ht="18" hidden="false" customHeight="true" outlineLevel="0" collapsed="false">
      <c r="A37" s="1143"/>
      <c r="B37" s="1146" t="n">
        <v>20</v>
      </c>
      <c r="C37" s="1141" t="s">
        <v>2021</v>
      </c>
      <c r="D37" s="1154"/>
      <c r="E37" s="1141"/>
      <c r="F37" s="1141"/>
      <c r="G37" s="1159"/>
      <c r="H37" s="1160"/>
      <c r="I37" s="1156" t="str">
        <f aca="false">INDEX(TEMPLATE_NUMBER_POINT_FHD,B37,MATCH(TEMPLATE_SPHERE,TEMPLATE_SPHERE_LIST_FOR_NOTE,0))</f>
        <v>2.8.1</v>
      </c>
      <c r="J37" s="1156" t="str">
        <f aca="false">INDEX(TEMPLATE_DATA_POINT_FHD,B37,MATCH(TEMPLATE_SPHERE,TEMPLATE_SPHERE_LIST_FOR_NOTE,0))</f>
        <v>Расходы на амортизацию основных средств</v>
      </c>
      <c r="K37" s="1156" t="n">
        <f aca="false">INDEX(TEMPLATE_NOTE_POINT_FHD,B37,MATCH(TEMPLATE_SPHERE,TEMPLATE_SPHERE_LIST_FOR_NOTE,0))</f>
        <v>0</v>
      </c>
      <c r="L37" s="1144" t="str">
        <f aca="false">IF(I37=0,"",I37)</f>
        <v>2.8.1</v>
      </c>
      <c r="M37" s="1144" t="str">
        <f aca="false">IF(J37=0,"",J37)</f>
        <v>Расходы на амортизацию основных средств</v>
      </c>
      <c r="N37" s="1144" t="str">
        <f aca="false">IF(K37=0,"",K37)</f>
        <v/>
      </c>
      <c r="O37" s="1157" t="s">
        <v>2022</v>
      </c>
      <c r="P37" s="1157" t="s">
        <v>2005</v>
      </c>
      <c r="Q37" s="1157" t="s">
        <v>2022</v>
      </c>
      <c r="R37" s="1157" t="s">
        <v>2005</v>
      </c>
      <c r="S37" s="1157"/>
      <c r="T37" s="1158" t="s">
        <v>2023</v>
      </c>
      <c r="U37" s="1126" t="s">
        <v>2023</v>
      </c>
      <c r="V37" s="1126" t="s">
        <v>2023</v>
      </c>
      <c r="W37" s="1126" t="s">
        <v>2023</v>
      </c>
      <c r="X37" s="1141"/>
      <c r="Y37" s="1145"/>
      <c r="Z37" s="1126"/>
      <c r="AA37" s="1133"/>
      <c r="AB37" s="1126"/>
      <c r="AC37" s="1126"/>
      <c r="AD37" s="1126"/>
    </row>
    <row r="38" customFormat="false" ht="18" hidden="false" customHeight="true" outlineLevel="0" collapsed="false">
      <c r="A38" s="1143"/>
      <c r="B38" s="1146" t="n">
        <v>21</v>
      </c>
      <c r="C38" s="1141" t="s">
        <v>2024</v>
      </c>
      <c r="D38" s="1154"/>
      <c r="E38" s="1141"/>
      <c r="F38" s="1141"/>
      <c r="G38" s="1159"/>
      <c r="H38" s="1160"/>
      <c r="I38" s="1156" t="str">
        <f aca="false">INDEX(TEMPLATE_NUMBER_POINT_FHD,B38,MATCH(TEMPLATE_SPHERE,TEMPLATE_SPHERE_LIST_FOR_NOTE,0))</f>
        <v>2.8.2</v>
      </c>
      <c r="J38" s="1156" t="str">
        <f aca="false">INDEX(TEMPLATE_DATA_POINT_FHD,B38,MATCH(TEMPLATE_SPHERE,TEMPLATE_SPHERE_LIST_FOR_NOTE,0))</f>
        <v>Расходы на амортизацию нематериальных активов</v>
      </c>
      <c r="K38" s="1156" t="n">
        <f aca="false">INDEX(TEMPLATE_NOTE_POINT_FHD,B38,MATCH(TEMPLATE_SPHERE,TEMPLATE_SPHERE_LIST_FOR_NOTE,0))</f>
        <v>0</v>
      </c>
      <c r="L38" s="1144" t="str">
        <f aca="false">IF(I38=0,"",I38)</f>
        <v>2.8.2</v>
      </c>
      <c r="M38" s="1144" t="str">
        <f aca="false">IF(J38=0,"",J38)</f>
        <v>Расходы на амортизацию нематериальных активов</v>
      </c>
      <c r="N38" s="1144" t="str">
        <f aca="false">IF(K38=0,"",K38)</f>
        <v/>
      </c>
      <c r="O38" s="1157" t="s">
        <v>2025</v>
      </c>
      <c r="P38" s="1157" t="s">
        <v>2008</v>
      </c>
      <c r="Q38" s="1157" t="s">
        <v>2025</v>
      </c>
      <c r="R38" s="1157" t="s">
        <v>2008</v>
      </c>
      <c r="S38" s="1157"/>
      <c r="T38" s="1158" t="s">
        <v>2026</v>
      </c>
      <c r="U38" s="1126" t="s">
        <v>2026</v>
      </c>
      <c r="V38" s="1126" t="s">
        <v>2026</v>
      </c>
      <c r="W38" s="1126" t="s">
        <v>2026</v>
      </c>
      <c r="X38" s="1141"/>
      <c r="Y38" s="1145"/>
      <c r="Z38" s="1126"/>
      <c r="AA38" s="1133"/>
      <c r="AB38" s="1126"/>
      <c r="AC38" s="1126"/>
      <c r="AD38" s="1126"/>
    </row>
    <row r="39" customFormat="false" ht="36" hidden="false" customHeight="true" outlineLevel="0" collapsed="false">
      <c r="A39" s="1143"/>
      <c r="B39" s="1146" t="n">
        <v>22</v>
      </c>
      <c r="C39" s="1141" t="n">
        <v>12</v>
      </c>
      <c r="D39" s="1154"/>
      <c r="E39" s="1141"/>
      <c r="F39" s="1141"/>
      <c r="G39" s="1159"/>
      <c r="H39" s="1160"/>
      <c r="I39" s="1156" t="str">
        <f aca="false">INDEX(TEMPLATE_NUMBER_POINT_FHD,B39,MATCH(TEMPLATE_SPHERE,TEMPLATE_SPHERE_LIST_FOR_NOTE,0))</f>
        <v>2.9</v>
      </c>
      <c r="J39" s="1156" t="str">
        <f aca="false">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56" t="n">
        <f aca="false">INDEX(TEMPLATE_NOTE_POINT_FHD,B39,MATCH(TEMPLATE_SPHERE,TEMPLATE_SPHERE_LIST_FOR_NOTE,0))</f>
        <v>0</v>
      </c>
      <c r="L39" s="1144" t="str">
        <f aca="false">IF(I39=0,"",I39)</f>
        <v>2.9</v>
      </c>
      <c r="M39" s="1144" t="str">
        <f aca="false">IF(J39=0,"",J39)</f>
        <v>Расходы на аренду имущества, используемого для осуществления регулируемых видов деятельности в сфере горячего водоснабжения</v>
      </c>
      <c r="N39" s="1144" t="str">
        <f aca="false">IF(K39=0,"",K39)</f>
        <v/>
      </c>
      <c r="O39" s="1157" t="s">
        <v>680</v>
      </c>
      <c r="P39" s="1157" t="s">
        <v>674</v>
      </c>
      <c r="Q39" s="1157" t="s">
        <v>680</v>
      </c>
      <c r="R39" s="1157" t="s">
        <v>674</v>
      </c>
      <c r="S39" s="1157"/>
      <c r="T39" s="1158" t="s">
        <v>2027</v>
      </c>
      <c r="U39" s="1126" t="s">
        <v>2028</v>
      </c>
      <c r="V39" s="1126" t="s">
        <v>2029</v>
      </c>
      <c r="W39" s="1126" t="s">
        <v>2030</v>
      </c>
      <c r="X39" s="1141"/>
      <c r="Y39" s="1145"/>
      <c r="Z39" s="1126"/>
      <c r="AA39" s="1133"/>
      <c r="AB39" s="1126"/>
      <c r="AC39" s="1126"/>
      <c r="AD39" s="1126"/>
    </row>
    <row r="40" customFormat="false" ht="18" hidden="false" customHeight="true" outlineLevel="0" collapsed="false">
      <c r="A40" s="1143"/>
      <c r="B40" s="1146" t="n">
        <v>23</v>
      </c>
      <c r="C40" s="1141" t="n">
        <v>13</v>
      </c>
      <c r="D40" s="1154"/>
      <c r="E40" s="1141"/>
      <c r="F40" s="1141"/>
      <c r="G40" s="1141"/>
      <c r="H40" s="1163"/>
      <c r="I40" s="1156" t="str">
        <f aca="false">INDEX(TEMPLATE_NUMBER_POINT_FHD,B40,MATCH(TEMPLATE_SPHERE,TEMPLATE_SPHERE_LIST_FOR_NOTE,0))</f>
        <v>2.10</v>
      </c>
      <c r="J40" s="1156" t="str">
        <f aca="false">INDEX(TEMPLATE_DATA_POINT_FHD,B40,MATCH(TEMPLATE_SPHERE,TEMPLATE_SPHERE_LIST_FOR_NOTE,0))</f>
        <v>Общепроизводственные расходы, в том числе:</v>
      </c>
      <c r="K40" s="1156" t="str">
        <f aca="false">INDEX(TEMPLATE_NOTE_POINT_FHD,B40,MATCH(TEMPLATE_SPHERE,TEMPLATE_SPHERE_LIST_FOR_NOTE,0))</f>
        <v>Указывается общая сумма общепроизводственных расходов.</v>
      </c>
      <c r="L40" s="1144" t="str">
        <f aca="false">IF(I40=0,"",I40)</f>
        <v>2.10</v>
      </c>
      <c r="M40" s="1144" t="str">
        <f aca="false">IF(J40=0,"",J40)</f>
        <v>Общепроизводственные расходы, в том числе:</v>
      </c>
      <c r="N40" s="1144" t="str">
        <f aca="false">IF(K40=0,"",K40)</f>
        <v>Указывается общая сумма общепроизводственных расходов.</v>
      </c>
      <c r="O40" s="1157" t="s">
        <v>2031</v>
      </c>
      <c r="P40" s="1157" t="s">
        <v>676</v>
      </c>
      <c r="Q40" s="1157" t="s">
        <v>2031</v>
      </c>
      <c r="R40" s="1157" t="s">
        <v>676</v>
      </c>
      <c r="S40" s="1157"/>
      <c r="T40" s="1141" t="s">
        <v>2032</v>
      </c>
      <c r="U40" s="1141" t="s">
        <v>2032</v>
      </c>
      <c r="V40" s="1141" t="s">
        <v>2032</v>
      </c>
      <c r="W40" s="1141" t="s">
        <v>2032</v>
      </c>
      <c r="X40" s="1141"/>
      <c r="Y40" s="1145"/>
      <c r="Z40" s="1126" t="s">
        <v>2033</v>
      </c>
      <c r="AA40" s="1133" t="s">
        <v>2033</v>
      </c>
      <c r="AB40" s="1133" t="s">
        <v>2033</v>
      </c>
      <c r="AC40" s="1133" t="s">
        <v>2033</v>
      </c>
      <c r="AD40" s="1126"/>
    </row>
    <row r="41" customFormat="false" ht="27" hidden="false" customHeight="true" outlineLevel="0" collapsed="false">
      <c r="A41" s="1143"/>
      <c r="B41" s="1146" t="n">
        <v>24</v>
      </c>
      <c r="C41" s="1141" t="s">
        <v>2034</v>
      </c>
      <c r="D41" s="1154"/>
      <c r="E41" s="1141"/>
      <c r="F41" s="1141"/>
      <c r="G41" s="1141"/>
      <c r="H41" s="1159"/>
      <c r="I41" s="1156" t="str">
        <f aca="false">INDEX(TEMPLATE_NUMBER_POINT_FHD,B41,MATCH(TEMPLATE_SPHERE,TEMPLATE_SPHERE_LIST_FOR_NOTE,0))</f>
        <v>2.10.1</v>
      </c>
      <c r="J41" s="1156" t="str">
        <f aca="false">INDEX(TEMPLATE_DATA_POINT_FHD,B41,MATCH(TEMPLATE_SPHERE,TEMPLATE_SPHERE_LIST_FOR_NOTE,0))</f>
        <v>Расходы на текущий ремонт</v>
      </c>
      <c r="K41" s="1156" t="str">
        <f aca="false">INDEX(TEMPLATE_NOTE_POINT_FHD,B41,MATCH(TEMPLATE_SPHERE,TEMPLATE_SPHERE_LIST_FOR_NOTE,0))</f>
        <v>Указываются расходы на текущий ремонт, отнесенные к общепроизводственным расходам.</v>
      </c>
      <c r="L41" s="1144" t="str">
        <f aca="false">IF(I41=0,"",I41)</f>
        <v>2.10.1</v>
      </c>
      <c r="M41" s="1144" t="str">
        <f aca="false">IF(J41=0,"",J41)</f>
        <v>Расходы на текущий ремонт</v>
      </c>
      <c r="N41" s="1144" t="str">
        <f aca="false">IF(K41=0,"",K41)</f>
        <v>Указываются расходы на текущий ремонт, отнесенные к общепроизводственным расходам.</v>
      </c>
      <c r="O41" s="1157" t="s">
        <v>2035</v>
      </c>
      <c r="P41" s="1157" t="s">
        <v>2022</v>
      </c>
      <c r="Q41" s="1157" t="s">
        <v>2035</v>
      </c>
      <c r="R41" s="1157" t="s">
        <v>2022</v>
      </c>
      <c r="S41" s="1157"/>
      <c r="T41" s="1141" t="s">
        <v>2036</v>
      </c>
      <c r="U41" s="1141" t="s">
        <v>2036</v>
      </c>
      <c r="V41" s="1141" t="s">
        <v>2036</v>
      </c>
      <c r="W41" s="1141" t="s">
        <v>2036</v>
      </c>
      <c r="X41" s="1141"/>
      <c r="Y41" s="1145"/>
      <c r="Z41" s="1126" t="s">
        <v>2037</v>
      </c>
      <c r="AA41" s="1126" t="s">
        <v>2037</v>
      </c>
      <c r="AB41" s="1126" t="s">
        <v>2037</v>
      </c>
      <c r="AC41" s="1126" t="s">
        <v>2037</v>
      </c>
      <c r="AD41" s="1126"/>
    </row>
    <row r="42" customFormat="false" ht="27" hidden="false" customHeight="true" outlineLevel="0" collapsed="false">
      <c r="A42" s="1143"/>
      <c r="B42" s="1146" t="n">
        <v>25</v>
      </c>
      <c r="C42" s="1141" t="s">
        <v>2038</v>
      </c>
      <c r="D42" s="1154"/>
      <c r="E42" s="1141"/>
      <c r="F42" s="1141"/>
      <c r="G42" s="1141"/>
      <c r="H42" s="1159"/>
      <c r="I42" s="1156" t="str">
        <f aca="false">INDEX(TEMPLATE_NUMBER_POINT_FHD,B42,MATCH(TEMPLATE_SPHERE,TEMPLATE_SPHERE_LIST_FOR_NOTE,0))</f>
        <v>2.10.2</v>
      </c>
      <c r="J42" s="1156" t="str">
        <f aca="false">INDEX(TEMPLATE_DATA_POINT_FHD,B42,MATCH(TEMPLATE_SPHERE,TEMPLATE_SPHERE_LIST_FOR_NOTE,0))</f>
        <v>Расходы на капитальный ремонт</v>
      </c>
      <c r="K42" s="1156" t="str">
        <f aca="false">INDEX(TEMPLATE_NOTE_POINT_FHD,B42,MATCH(TEMPLATE_SPHERE,TEMPLATE_SPHERE_LIST_FOR_NOTE,0))</f>
        <v>Указываются расходы на капитальный ремонт, отнесенные к общепроизводственным расходам.</v>
      </c>
      <c r="L42" s="1144" t="str">
        <f aca="false">IF(I42=0,"",I42)</f>
        <v>2.10.2</v>
      </c>
      <c r="M42" s="1144" t="str">
        <f aca="false">IF(J42=0,"",J42)</f>
        <v>Расходы на капитальный ремонт</v>
      </c>
      <c r="N42" s="1144" t="str">
        <f aca="false">IF(K42=0,"",K42)</f>
        <v>Указываются расходы на капитальный ремонт, отнесенные к общепроизводственным расходам.</v>
      </c>
      <c r="O42" s="1157" t="s">
        <v>2039</v>
      </c>
      <c r="P42" s="1157" t="s">
        <v>2025</v>
      </c>
      <c r="Q42" s="1157" t="s">
        <v>2039</v>
      </c>
      <c r="R42" s="1157" t="s">
        <v>2025</v>
      </c>
      <c r="S42" s="1157"/>
      <c r="T42" s="1141" t="s">
        <v>2040</v>
      </c>
      <c r="U42" s="1141" t="s">
        <v>2040</v>
      </c>
      <c r="V42" s="1141" t="s">
        <v>2040</v>
      </c>
      <c r="W42" s="1141" t="s">
        <v>2040</v>
      </c>
      <c r="X42" s="1141"/>
      <c r="Y42" s="1145"/>
      <c r="Z42" s="1126" t="s">
        <v>2041</v>
      </c>
      <c r="AA42" s="1126" t="s">
        <v>2041</v>
      </c>
      <c r="AB42" s="1126" t="s">
        <v>2041</v>
      </c>
      <c r="AC42" s="1126" t="s">
        <v>2041</v>
      </c>
      <c r="AD42" s="1126"/>
    </row>
    <row r="43" customFormat="false" ht="18" hidden="false" customHeight="true" outlineLevel="0" collapsed="false">
      <c r="A43" s="1143"/>
      <c r="B43" s="1146" t="n">
        <v>26</v>
      </c>
      <c r="C43" s="1141" t="n">
        <v>14</v>
      </c>
      <c r="D43" s="1154"/>
      <c r="E43" s="1141"/>
      <c r="F43" s="1141"/>
      <c r="G43" s="1141"/>
      <c r="H43" s="1159"/>
      <c r="I43" s="1156" t="str">
        <f aca="false">INDEX(TEMPLATE_NUMBER_POINT_FHD,B43,MATCH(TEMPLATE_SPHERE,TEMPLATE_SPHERE_LIST_FOR_NOTE,0))</f>
        <v>2.11</v>
      </c>
      <c r="J43" s="1156" t="str">
        <f aca="false">INDEX(TEMPLATE_DATA_POINT_FHD,B43,MATCH(TEMPLATE_SPHERE,TEMPLATE_SPHERE_LIST_FOR_NOTE,0))</f>
        <v>Общехозяйственные расходы, в том числе:</v>
      </c>
      <c r="K43" s="1156" t="str">
        <f aca="false">INDEX(TEMPLATE_NOTE_POINT_FHD,B43,MATCH(TEMPLATE_SPHERE,TEMPLATE_SPHERE_LIST_FOR_NOTE,0))</f>
        <v>Указывается общая сумма общехозяйственных расходов.</v>
      </c>
      <c r="L43" s="1144" t="str">
        <f aca="false">IF(I43=0,"",I43)</f>
        <v>2.11</v>
      </c>
      <c r="M43" s="1144" t="str">
        <f aca="false">IF(J43=0,"",J43)</f>
        <v>Общехозяйственные расходы, в том числе:</v>
      </c>
      <c r="N43" s="1144" t="str">
        <f aca="false">IF(K43=0,"",K43)</f>
        <v>Указывается общая сумма общехозяйственных расходов.</v>
      </c>
      <c r="O43" s="1157" t="s">
        <v>2042</v>
      </c>
      <c r="P43" s="1157" t="s">
        <v>680</v>
      </c>
      <c r="Q43" s="1157" t="s">
        <v>2042</v>
      </c>
      <c r="R43" s="1157" t="s">
        <v>680</v>
      </c>
      <c r="S43" s="1157"/>
      <c r="T43" s="1141" t="s">
        <v>2043</v>
      </c>
      <c r="U43" s="1141" t="s">
        <v>2043</v>
      </c>
      <c r="V43" s="1141" t="s">
        <v>2043</v>
      </c>
      <c r="W43" s="1141" t="s">
        <v>2043</v>
      </c>
      <c r="X43" s="1141"/>
      <c r="Y43" s="1145"/>
      <c r="Z43" s="1126" t="s">
        <v>2044</v>
      </c>
      <c r="AA43" s="1126" t="s">
        <v>2044</v>
      </c>
      <c r="AB43" s="1126" t="s">
        <v>2044</v>
      </c>
      <c r="AC43" s="1126" t="s">
        <v>2044</v>
      </c>
      <c r="AD43" s="1126"/>
    </row>
    <row r="44" customFormat="false" ht="27" hidden="false" customHeight="true" outlineLevel="0" collapsed="false">
      <c r="A44" s="1143"/>
      <c r="B44" s="1146" t="n">
        <v>27</v>
      </c>
      <c r="C44" s="1141" t="s">
        <v>2045</v>
      </c>
      <c r="D44" s="1154"/>
      <c r="E44" s="1141"/>
      <c r="F44" s="1141"/>
      <c r="G44" s="1141"/>
      <c r="H44" s="1159"/>
      <c r="I44" s="1156" t="str">
        <f aca="false">INDEX(TEMPLATE_NUMBER_POINT_FHD,B44,MATCH(TEMPLATE_SPHERE,TEMPLATE_SPHERE_LIST_FOR_NOTE,0))</f>
        <v>2.11.1</v>
      </c>
      <c r="J44" s="1156" t="str">
        <f aca="false">INDEX(TEMPLATE_DATA_POINT_FHD,B44,MATCH(TEMPLATE_SPHERE,TEMPLATE_SPHERE_LIST_FOR_NOTE,0))</f>
        <v>Расходы на текущий ремонт</v>
      </c>
      <c r="K44" s="1156" t="str">
        <f aca="false">INDEX(TEMPLATE_NOTE_POINT_FHD,B44,MATCH(TEMPLATE_SPHERE,TEMPLATE_SPHERE_LIST_FOR_NOTE,0))</f>
        <v>Указываются расходы на текущий ремонт, отнесенные к общехозяйственным расходам.</v>
      </c>
      <c r="L44" s="1144" t="str">
        <f aca="false">IF(I44=0,"",I44)</f>
        <v>2.11.1</v>
      </c>
      <c r="M44" s="1144" t="str">
        <f aca="false">IF(J44=0,"",J44)</f>
        <v>Расходы на текущий ремонт</v>
      </c>
      <c r="N44" s="1144" t="str">
        <f aca="false">IF(K44=0,"",K44)</f>
        <v>Указываются расходы на текущий ремонт, отнесенные к общехозяйственным расходам.</v>
      </c>
      <c r="O44" s="1157" t="s">
        <v>2046</v>
      </c>
      <c r="P44" s="1157" t="s">
        <v>2047</v>
      </c>
      <c r="Q44" s="1157" t="s">
        <v>2046</v>
      </c>
      <c r="R44" s="1157" t="s">
        <v>2047</v>
      </c>
      <c r="S44" s="1157"/>
      <c r="T44" s="1141" t="s">
        <v>2036</v>
      </c>
      <c r="U44" s="1141" t="s">
        <v>2036</v>
      </c>
      <c r="V44" s="1141" t="s">
        <v>2036</v>
      </c>
      <c r="W44" s="1141" t="s">
        <v>2036</v>
      </c>
      <c r="X44" s="1141"/>
      <c r="Y44" s="1145"/>
      <c r="Z44" s="1126" t="s">
        <v>2048</v>
      </c>
      <c r="AA44" s="1126" t="s">
        <v>2048</v>
      </c>
      <c r="AB44" s="1126" t="s">
        <v>2048</v>
      </c>
      <c r="AC44" s="1126" t="s">
        <v>2048</v>
      </c>
      <c r="AD44" s="1126"/>
    </row>
    <row r="45" customFormat="false" ht="27" hidden="false" customHeight="true" outlineLevel="0" collapsed="false">
      <c r="A45" s="1143"/>
      <c r="B45" s="1146" t="n">
        <v>28</v>
      </c>
      <c r="C45" s="1141" t="s">
        <v>2049</v>
      </c>
      <c r="D45" s="1154"/>
      <c r="E45" s="1141"/>
      <c r="F45" s="1141"/>
      <c r="G45" s="1141"/>
      <c r="H45" s="1159"/>
      <c r="I45" s="1156" t="str">
        <f aca="false">INDEX(TEMPLATE_NUMBER_POINT_FHD,B45,MATCH(TEMPLATE_SPHERE,TEMPLATE_SPHERE_LIST_FOR_NOTE,0))</f>
        <v>2.11.2</v>
      </c>
      <c r="J45" s="1156" t="str">
        <f aca="false">INDEX(TEMPLATE_DATA_POINT_FHD,B45,MATCH(TEMPLATE_SPHERE,TEMPLATE_SPHERE_LIST_FOR_NOTE,0))</f>
        <v>Расходы на капитальный ремонт</v>
      </c>
      <c r="K45" s="1156" t="str">
        <f aca="false">INDEX(TEMPLATE_NOTE_POINT_FHD,B45,MATCH(TEMPLATE_SPHERE,TEMPLATE_SPHERE_LIST_FOR_NOTE,0))</f>
        <v>Указываются расходы на капитальный ремонт, отнесенные к общехозяйственным расходам.</v>
      </c>
      <c r="L45" s="1144" t="str">
        <f aca="false">IF(I45=0,"",I45)</f>
        <v>2.11.2</v>
      </c>
      <c r="M45" s="1144" t="str">
        <f aca="false">IF(J45=0,"",J45)</f>
        <v>Расходы на капитальный ремонт</v>
      </c>
      <c r="N45" s="1144" t="str">
        <f aca="false">IF(K45=0,"",K45)</f>
        <v>Указываются расходы на капитальный ремонт, отнесенные к общехозяйственным расходам.</v>
      </c>
      <c r="O45" s="1157" t="s">
        <v>2050</v>
      </c>
      <c r="P45" s="1157" t="s">
        <v>2051</v>
      </c>
      <c r="Q45" s="1157" t="s">
        <v>2050</v>
      </c>
      <c r="R45" s="1157" t="s">
        <v>2051</v>
      </c>
      <c r="S45" s="1157"/>
      <c r="T45" s="1141" t="s">
        <v>2040</v>
      </c>
      <c r="U45" s="1141" t="s">
        <v>2040</v>
      </c>
      <c r="V45" s="1141" t="s">
        <v>2040</v>
      </c>
      <c r="W45" s="1141" t="s">
        <v>2040</v>
      </c>
      <c r="X45" s="1141"/>
      <c r="Y45" s="1145"/>
      <c r="Z45" s="1126" t="s">
        <v>2052</v>
      </c>
      <c r="AA45" s="1126" t="s">
        <v>2052</v>
      </c>
      <c r="AB45" s="1126" t="s">
        <v>2052</v>
      </c>
      <c r="AC45" s="1126" t="s">
        <v>2052</v>
      </c>
      <c r="AD45" s="1126"/>
    </row>
    <row r="46" customFormat="false" ht="54" hidden="false" customHeight="true" outlineLevel="0" collapsed="false">
      <c r="A46" s="1143"/>
      <c r="B46" s="1146" t="n">
        <v>29</v>
      </c>
      <c r="C46" s="1141" t="n">
        <v>15</v>
      </c>
      <c r="D46" s="1154"/>
      <c r="E46" s="1141"/>
      <c r="F46" s="1141"/>
      <c r="G46" s="1141"/>
      <c r="H46" s="1159"/>
      <c r="I46" s="1156" t="str">
        <f aca="false">INDEX(TEMPLATE_NUMBER_POINT_FHD,B46,MATCH(TEMPLATE_SPHERE,TEMPLATE_SPHERE_LIST_FOR_NOTE,0))</f>
        <v>2.12</v>
      </c>
      <c r="J46" s="1156" t="str">
        <f aca="false">INDEX(TEMPLATE_DATA_POINT_FHD,B46,MATCH(TEMPLATE_SPHERE,TEMPLATE_SPHERE_LIST_FOR_NOTE,0))</f>
        <v>Расходы на капитальный и текущий ремонт основных средств</v>
      </c>
      <c r="K46" s="1156" t="str">
        <f aca="false">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44" t="str">
        <f aca="false">IF(I46=0,"",I46)</f>
        <v>2.12</v>
      </c>
      <c r="M46" s="1144" t="str">
        <f aca="false">IF(J46=0,"",J46)</f>
        <v>Расходы на капитальный и текущий ремонт основных средств</v>
      </c>
      <c r="N46" s="1144" t="str">
        <f aca="false">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57" t="s">
        <v>2053</v>
      </c>
      <c r="P46" s="1157" t="s">
        <v>2031</v>
      </c>
      <c r="Q46" s="1157" t="s">
        <v>2053</v>
      </c>
      <c r="R46" s="1157" t="s">
        <v>2031</v>
      </c>
      <c r="S46" s="1157"/>
      <c r="T46" s="1141" t="s">
        <v>2054</v>
      </c>
      <c r="U46" s="1141" t="s">
        <v>2054</v>
      </c>
      <c r="V46" s="1141" t="s">
        <v>2054</v>
      </c>
      <c r="W46" s="1141" t="s">
        <v>2054</v>
      </c>
      <c r="X46" s="1141"/>
      <c r="Y46" s="1145"/>
      <c r="Z46" s="1126" t="s">
        <v>2055</v>
      </c>
      <c r="AA46" s="1126" t="s">
        <v>2056</v>
      </c>
      <c r="AB46" s="1126" t="s">
        <v>2056</v>
      </c>
      <c r="AC46" s="1126" t="s">
        <v>2056</v>
      </c>
      <c r="AD46" s="1126"/>
    </row>
    <row r="47" customFormat="false" ht="54" hidden="false" customHeight="true" outlineLevel="0" collapsed="false">
      <c r="A47" s="1143"/>
      <c r="B47" s="1146" t="n">
        <v>30</v>
      </c>
      <c r="C47" s="1141" t="s">
        <v>2057</v>
      </c>
      <c r="D47" s="1154"/>
      <c r="E47" s="1141"/>
      <c r="F47" s="1141"/>
      <c r="G47" s="1141"/>
      <c r="H47" s="1159"/>
      <c r="I47" s="1156" t="str">
        <f aca="false">INDEX(TEMPLATE_NUMBER_POINT_FHD,B47,MATCH(TEMPLATE_SPHERE,TEMPLATE_SPHERE_LIST_FOR_NOTE,0))</f>
        <v>2.12.1</v>
      </c>
      <c r="J47" s="1156"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56" t="n">
        <f aca="false">INDEX(TEMPLATE_NOTE_POINT_FHD,B47,MATCH(TEMPLATE_SPHERE,TEMPLATE_SPHERE_LIST_FOR_NOTE,0))</f>
        <v>0</v>
      </c>
      <c r="L47" s="1144" t="str">
        <f aca="false">IF(I47=0,"",I47)</f>
        <v>2.12.1</v>
      </c>
      <c r="M47" s="1144"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44" t="str">
        <f aca="false">IF(K47=0,"",K47)</f>
        <v/>
      </c>
      <c r="O47" s="1157" t="s">
        <v>2058</v>
      </c>
      <c r="P47" s="1157" t="s">
        <v>2035</v>
      </c>
      <c r="Q47" s="1157" t="s">
        <v>2058</v>
      </c>
      <c r="R47" s="1157" t="s">
        <v>2035</v>
      </c>
      <c r="S47" s="1157"/>
      <c r="T47" s="1141" t="s">
        <v>2059</v>
      </c>
      <c r="U47" s="1141" t="s">
        <v>2059</v>
      </c>
      <c r="V47" s="1141" t="s">
        <v>2059</v>
      </c>
      <c r="W47" s="1141" t="s">
        <v>2059</v>
      </c>
      <c r="X47" s="1141"/>
      <c r="Y47" s="1145"/>
      <c r="Z47" s="1126"/>
      <c r="AA47" s="1133"/>
      <c r="AB47" s="1133"/>
      <c r="AC47" s="1133"/>
      <c r="AD47" s="1126"/>
    </row>
    <row r="48" customFormat="false" ht="54" hidden="false" customHeight="true" outlineLevel="0" collapsed="false">
      <c r="A48" s="1143"/>
      <c r="B48" s="1146" t="n">
        <v>31</v>
      </c>
      <c r="C48" s="1141" t="n">
        <v>16</v>
      </c>
      <c r="D48" s="1154"/>
      <c r="E48" s="1141"/>
      <c r="F48" s="1141"/>
      <c r="G48" s="1141"/>
      <c r="H48" s="1159"/>
      <c r="I48" s="1156" t="str">
        <f aca="false">INDEX(TEMPLATE_NUMBER_POINT_FHD,B48,MATCH(TEMPLATE_SPHERE,TEMPLATE_SPHERE_LIST_FOR_NOTE,0))</f>
        <v>2.13</v>
      </c>
      <c r="J48" s="1156" t="str">
        <f aca="false">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56" t="str">
        <f aca="false">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44" t="str">
        <f aca="false">IF(I48=0,"",I48)</f>
        <v>2.13</v>
      </c>
      <c r="M48" s="1144" t="str">
        <f aca="false">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144" t="str">
        <f aca="false">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57"/>
      <c r="P48" s="1157" t="s">
        <v>2042</v>
      </c>
      <c r="Q48" s="1157" t="s">
        <v>2060</v>
      </c>
      <c r="R48" s="1157" t="s">
        <v>2042</v>
      </c>
      <c r="S48" s="1157"/>
      <c r="T48" s="1141"/>
      <c r="U48" s="1141" t="s">
        <v>2061</v>
      </c>
      <c r="V48" s="1141" t="s">
        <v>2062</v>
      </c>
      <c r="W48" s="1141" t="s">
        <v>2062</v>
      </c>
      <c r="X48" s="1141"/>
      <c r="Y48" s="1145"/>
      <c r="Z48" s="1126"/>
      <c r="AA48" s="1133" t="s">
        <v>2056</v>
      </c>
      <c r="AB48" s="1133" t="s">
        <v>2056</v>
      </c>
      <c r="AC48" s="1133" t="s">
        <v>2056</v>
      </c>
      <c r="AD48" s="1126"/>
    </row>
    <row r="49" customFormat="false" ht="54" hidden="false" customHeight="true" outlineLevel="0" collapsed="false">
      <c r="A49" s="1143"/>
      <c r="B49" s="1146" t="n">
        <v>32</v>
      </c>
      <c r="C49" s="1141" t="s">
        <v>2063</v>
      </c>
      <c r="D49" s="1154"/>
      <c r="E49" s="1141"/>
      <c r="F49" s="1141"/>
      <c r="G49" s="1141"/>
      <c r="H49" s="1159"/>
      <c r="I49" s="1156" t="str">
        <f aca="false">INDEX(TEMPLATE_NUMBER_POINT_FHD,B49,MATCH(TEMPLATE_SPHERE,TEMPLATE_SPHERE_LIST_FOR_NOTE,0))</f>
        <v>2.13.1</v>
      </c>
      <c r="J49" s="1156" t="str">
        <f aca="false">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56" t="n">
        <f aca="false">INDEX(TEMPLATE_NOTE_POINT_FHD,B49,MATCH(TEMPLATE_SPHERE,TEMPLATE_SPHERE_LIST_FOR_NOTE,0))</f>
        <v>0</v>
      </c>
      <c r="L49" s="1144" t="str">
        <f aca="false">IF(I49=0,"",I49)</f>
        <v>2.13.1</v>
      </c>
      <c r="M49" s="1144" t="str">
        <f aca="false">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44" t="str">
        <f aca="false">IF(K49=0,"",K49)</f>
        <v/>
      </c>
      <c r="O49" s="1157"/>
      <c r="P49" s="1157" t="s">
        <v>2046</v>
      </c>
      <c r="Q49" s="1157" t="s">
        <v>2064</v>
      </c>
      <c r="R49" s="1157" t="s">
        <v>2046</v>
      </c>
      <c r="S49" s="1157"/>
      <c r="T49" s="1141"/>
      <c r="U49" s="1141" t="s">
        <v>2059</v>
      </c>
      <c r="V49" s="1141" t="s">
        <v>2059</v>
      </c>
      <c r="W49" s="1141" t="s">
        <v>2059</v>
      </c>
      <c r="X49" s="1141"/>
      <c r="Y49" s="1145"/>
      <c r="Z49" s="1126"/>
      <c r="AA49" s="1133"/>
      <c r="AB49" s="1133"/>
      <c r="AC49" s="1133"/>
      <c r="AD49" s="1126"/>
    </row>
    <row r="50" customFormat="false" ht="126" hidden="false" customHeight="true" outlineLevel="0" collapsed="false">
      <c r="A50" s="1143"/>
      <c r="B50" s="1146" t="n">
        <v>33</v>
      </c>
      <c r="C50" s="1141" t="n">
        <v>17</v>
      </c>
      <c r="D50" s="1154"/>
      <c r="E50" s="1141"/>
      <c r="F50" s="1141"/>
      <c r="G50" s="1141"/>
      <c r="H50" s="1159"/>
      <c r="I50" s="1156" t="str">
        <f aca="false">INDEX(TEMPLATE_NUMBER_POINT_FHD,B50,MATCH(TEMPLATE_SPHERE,TEMPLATE_SPHERE_LIST_FOR_NOTE,0))</f>
        <v>2.14</v>
      </c>
      <c r="J50" s="1156" t="str">
        <f aca="false">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56"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44" t="str">
        <f aca="false">IF(I50=0,"",I50)</f>
        <v>2.14</v>
      </c>
      <c r="M50" s="1144" t="str">
        <f aca="false">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144" t="str">
        <f aca="false">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57" t="s">
        <v>2060</v>
      </c>
      <c r="P50" s="1157" t="s">
        <v>2053</v>
      </c>
      <c r="Q50" s="1157" t="s">
        <v>2065</v>
      </c>
      <c r="R50" s="1157" t="s">
        <v>2053</v>
      </c>
      <c r="S50" s="1157"/>
      <c r="T50" s="1141" t="s">
        <v>2066</v>
      </c>
      <c r="U50" s="1141" t="s">
        <v>2067</v>
      </c>
      <c r="V50" s="1141" t="s">
        <v>2068</v>
      </c>
      <c r="W50" s="1141" t="s">
        <v>2069</v>
      </c>
      <c r="X50" s="1141"/>
      <c r="Y50" s="1145"/>
      <c r="Z50" s="1126" t="s">
        <v>2070</v>
      </c>
      <c r="AA50" s="1133" t="s">
        <v>2071</v>
      </c>
      <c r="AB50" s="1133" t="s">
        <v>2071</v>
      </c>
      <c r="AC50" s="1133" t="s">
        <v>2071</v>
      </c>
      <c r="AD50" s="1126"/>
    </row>
    <row r="51" customFormat="false" ht="27" hidden="false" customHeight="true" outlineLevel="0" collapsed="false">
      <c r="A51" s="1143"/>
      <c r="B51" s="1146" t="n">
        <v>34</v>
      </c>
      <c r="C51" s="1141" t="s">
        <v>2072</v>
      </c>
      <c r="D51" s="1154"/>
      <c r="E51" s="1141"/>
      <c r="F51" s="1141"/>
      <c r="G51" s="1141"/>
      <c r="H51" s="1159"/>
      <c r="I51" s="1156" t="n">
        <f aca="false">INDEX(TEMPLATE_NUMBER_POINT_FHD,B51,MATCH(TEMPLATE_SPHERE,TEMPLATE_SPHERE_LIST_FOR_NOTE,0))</f>
        <v>0</v>
      </c>
      <c r="J51" s="1156" t="n">
        <f aca="false">INDEX(TEMPLATE_DATA_POINT_FHD,B51,MATCH(TEMPLATE_SPHERE,TEMPLATE_SPHERE_LIST_FOR_NOTE,0))</f>
        <v>0</v>
      </c>
      <c r="K51" s="1156" t="n">
        <f aca="false">INDEX(TEMPLATE_NOTE_POINT_FHD,B51,MATCH(TEMPLATE_SPHERE,TEMPLATE_SPHERE_LIST_FOR_NOTE,0))</f>
        <v>0</v>
      </c>
      <c r="L51" s="1144" t="str">
        <f aca="false">IF(I51=0,"",I51)</f>
        <v/>
      </c>
      <c r="M51" s="1144" t="str">
        <f aca="false">IF(J51=0,"",J51)</f>
        <v/>
      </c>
      <c r="N51" s="1144" t="str">
        <f aca="false">IF(K51=0,"",K51)</f>
        <v/>
      </c>
      <c r="O51" s="1157" t="s">
        <v>86</v>
      </c>
      <c r="P51" s="1157"/>
      <c r="Q51" s="1157"/>
      <c r="R51" s="1157"/>
      <c r="S51" s="1157"/>
      <c r="T51" s="1141" t="s">
        <v>2073</v>
      </c>
      <c r="U51" s="1141"/>
      <c r="V51" s="1141"/>
      <c r="W51" s="1141"/>
      <c r="X51" s="1141"/>
      <c r="Y51" s="1145"/>
      <c r="Z51" s="1126"/>
      <c r="AA51" s="1133"/>
      <c r="AB51" s="1133"/>
      <c r="AC51" s="1133"/>
      <c r="AD51" s="1126"/>
    </row>
    <row r="52" customFormat="false" ht="36" hidden="false" customHeight="true" outlineLevel="0" collapsed="false">
      <c r="A52" s="1143"/>
      <c r="B52" s="1146" t="n">
        <v>35</v>
      </c>
      <c r="C52" s="1141" t="s">
        <v>1965</v>
      </c>
      <c r="D52" s="1154" t="s">
        <v>1965</v>
      </c>
      <c r="E52" s="1141" t="s">
        <v>1965</v>
      </c>
      <c r="F52" s="1141" t="s">
        <v>1965</v>
      </c>
      <c r="G52" s="1141"/>
      <c r="H52" s="1159"/>
      <c r="I52" s="1156" t="str">
        <f aca="false">INDEX(TEMPLATE_NUMBER_POINT_FHD,B52,MATCH(TEMPLATE_SPHERE,TEMPLATE_SPHERE_LIST_FOR_NOTE,0))</f>
        <v>3</v>
      </c>
      <c r="J52" s="1156" t="str">
        <f aca="false">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56" t="str">
        <f aca="false">INDEX(TEMPLATE_NOTE_POINT_FHD,B52,MATCH(TEMPLATE_SPHERE,TEMPLATE_SPHERE_LIST_FOR_NOTE,0))</f>
        <v>Указывается общая сумма чистой прибыли, полученной от регулируемого вида деятельности.</v>
      </c>
      <c r="L52" s="1144" t="str">
        <f aca="false">IF(I52=0,"",I52)</f>
        <v>3</v>
      </c>
      <c r="M52" s="1144" t="str">
        <f aca="false">IF(J52=0,"",J52)</f>
        <v>Чистая прибыль, полученная от регулируемого вида деятельности в сфере горячего водоснабжения, в том числе:</v>
      </c>
      <c r="N52" s="1144" t="str">
        <f aca="false">IF(K52=0,"",K52)</f>
        <v>Указывается общая сумма чистой прибыли, полученной от регулируемого вида деятельности.</v>
      </c>
      <c r="O52" s="1157" t="s">
        <v>87</v>
      </c>
      <c r="P52" s="1157" t="s">
        <v>86</v>
      </c>
      <c r="Q52" s="1157" t="s">
        <v>86</v>
      </c>
      <c r="R52" s="1157" t="s">
        <v>86</v>
      </c>
      <c r="S52" s="1157"/>
      <c r="T52" s="1141" t="s">
        <v>2074</v>
      </c>
      <c r="U52" s="1141" t="s">
        <v>2075</v>
      </c>
      <c r="V52" s="1141" t="s">
        <v>2076</v>
      </c>
      <c r="W52" s="1141" t="s">
        <v>2077</v>
      </c>
      <c r="X52" s="1141"/>
      <c r="Y52" s="1145"/>
      <c r="Z52" s="1126" t="s">
        <v>684</v>
      </c>
      <c r="AA52" s="1133" t="s">
        <v>684</v>
      </c>
      <c r="AB52" s="1133" t="s">
        <v>684</v>
      </c>
      <c r="AC52" s="1133" t="s">
        <v>684</v>
      </c>
      <c r="AD52" s="1126"/>
    </row>
    <row r="53" customFormat="false" ht="36" hidden="false" customHeight="true" outlineLevel="0" collapsed="false">
      <c r="A53" s="1143"/>
      <c r="B53" s="1146" t="n">
        <v>36</v>
      </c>
      <c r="C53" s="1141" t="n">
        <v>1</v>
      </c>
      <c r="D53" s="1154"/>
      <c r="E53" s="1141"/>
      <c r="F53" s="1141"/>
      <c r="G53" s="1141"/>
      <c r="H53" s="1159"/>
      <c r="I53" s="1156" t="str">
        <f aca="false">INDEX(TEMPLATE_NUMBER_POINT_FHD,B53,MATCH(TEMPLATE_SPHERE,TEMPLATE_SPHERE_LIST_FOR_NOTE,0))</f>
        <v>3.1</v>
      </c>
      <c r="J53" s="1156"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56" t="n">
        <f aca="false">INDEX(TEMPLATE_NOTE_POINT_FHD,B53,MATCH(TEMPLATE_SPHERE,TEMPLATE_SPHERE_LIST_FOR_NOTE,0))</f>
        <v>0</v>
      </c>
      <c r="L53" s="1144" t="str">
        <f aca="false">IF(I53=0,"",I53)</f>
        <v>3.1</v>
      </c>
      <c r="M53" s="1144"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144" t="str">
        <f aca="false">IF(K53=0,"",K53)</f>
        <v/>
      </c>
      <c r="O53" s="1157" t="s">
        <v>688</v>
      </c>
      <c r="P53" s="1157" t="s">
        <v>340</v>
      </c>
      <c r="Q53" s="1157" t="s">
        <v>340</v>
      </c>
      <c r="R53" s="1157" t="s">
        <v>340</v>
      </c>
      <c r="S53" s="1157"/>
      <c r="T53" s="1141" t="s">
        <v>2078</v>
      </c>
      <c r="U53" s="1141" t="s">
        <v>2078</v>
      </c>
      <c r="V53" s="1141" t="s">
        <v>2078</v>
      </c>
      <c r="W53" s="1141" t="s">
        <v>2078</v>
      </c>
      <c r="X53" s="1141"/>
      <c r="Y53" s="1145"/>
      <c r="Z53" s="1126"/>
      <c r="AA53" s="1133"/>
      <c r="AB53" s="1126"/>
      <c r="AC53" s="1126"/>
      <c r="AD53" s="1126"/>
    </row>
    <row r="54" customFormat="false" ht="18" hidden="false" customHeight="true" outlineLevel="0" collapsed="false">
      <c r="A54" s="1143"/>
      <c r="B54" s="1146" t="n">
        <v>37</v>
      </c>
      <c r="C54" s="1141" t="s">
        <v>1971</v>
      </c>
      <c r="D54" s="1154" t="s">
        <v>1971</v>
      </c>
      <c r="E54" s="1141" t="s">
        <v>1971</v>
      </c>
      <c r="F54" s="1141" t="s">
        <v>1971</v>
      </c>
      <c r="G54" s="1141"/>
      <c r="H54" s="1159"/>
      <c r="I54" s="1156" t="str">
        <f aca="false">INDEX(TEMPLATE_NUMBER_POINT_FHD,B54,MATCH(TEMPLATE_SPHERE,TEMPLATE_SPHERE_LIST_FOR_NOTE,0))</f>
        <v>4</v>
      </c>
      <c r="J54" s="1156" t="str">
        <f aca="false">INDEX(TEMPLATE_DATA_POINT_FHD,B54,MATCH(TEMPLATE_SPHERE,TEMPLATE_SPHERE_LIST_FOR_NOTE,0))</f>
        <v>Изменение стоимости основных фондов, в том числе:</v>
      </c>
      <c r="K54" s="1156" t="str">
        <f aca="false">INDEX(TEMPLATE_NOTE_POINT_FHD,B54,MATCH(TEMPLATE_SPHERE,TEMPLATE_SPHERE_LIST_FOR_NOTE,0))</f>
        <v>Указывается общее изменение стоимости основных фондов.</v>
      </c>
      <c r="L54" s="1144" t="str">
        <f aca="false">IF(I54=0,"",I54)</f>
        <v>4</v>
      </c>
      <c r="M54" s="1144" t="str">
        <f aca="false">IF(J54=0,"",J54)</f>
        <v>Изменение стоимости основных фондов, в том числе:</v>
      </c>
      <c r="N54" s="1144" t="str">
        <f aca="false">IF(K54=0,"",K54)</f>
        <v>Указывается общее изменение стоимости основных фондов.</v>
      </c>
      <c r="O54" s="1157" t="s">
        <v>118</v>
      </c>
      <c r="P54" s="1157" t="s">
        <v>87</v>
      </c>
      <c r="Q54" s="1157" t="s">
        <v>87</v>
      </c>
      <c r="R54" s="1157" t="s">
        <v>87</v>
      </c>
      <c r="S54" s="1157"/>
      <c r="T54" s="1141" t="s">
        <v>686</v>
      </c>
      <c r="U54" s="1141" t="s">
        <v>686</v>
      </c>
      <c r="V54" s="1141" t="s">
        <v>686</v>
      </c>
      <c r="W54" s="1141" t="s">
        <v>686</v>
      </c>
      <c r="X54" s="1141"/>
      <c r="Y54" s="1145"/>
      <c r="Z54" s="1126" t="s">
        <v>687</v>
      </c>
      <c r="AA54" s="1126" t="s">
        <v>687</v>
      </c>
      <c r="AB54" s="1126" t="s">
        <v>687</v>
      </c>
      <c r="AC54" s="1126" t="s">
        <v>687</v>
      </c>
      <c r="AD54" s="1126"/>
    </row>
    <row r="55" customFormat="false" ht="36" hidden="false" customHeight="true" outlineLevel="0" collapsed="false">
      <c r="A55" s="1143"/>
      <c r="B55" s="1146" t="n">
        <v>38</v>
      </c>
      <c r="C55" s="1141" t="n">
        <v>1</v>
      </c>
      <c r="D55" s="1154"/>
      <c r="E55" s="1141"/>
      <c r="F55" s="1141"/>
      <c r="G55" s="1141"/>
      <c r="H55" s="1159"/>
      <c r="I55" s="1156" t="str">
        <f aca="false">INDEX(TEMPLATE_NUMBER_POINT_FHD,B55,MATCH(TEMPLATE_SPHERE,TEMPLATE_SPHERE_LIST_FOR_NOTE,0))</f>
        <v>4.1</v>
      </c>
      <c r="J55" s="1156" t="str">
        <f aca="false">INDEX(TEMPLATE_DATA_POINT_FHD,B55,MATCH(TEMPLATE_SPHERE,TEMPLATE_SPHERE_LIST_FOR_NOTE,0))</f>
        <v>Изменение стоимости основных фондов за счет их ввода в эксплуатацию (вывода из эксплуатации)</v>
      </c>
      <c r="K55" s="1156"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44" t="str">
        <f aca="false">IF(I55=0,"",I55)</f>
        <v>4.1</v>
      </c>
      <c r="M55" s="1144" t="str">
        <f aca="false">IF(J55=0,"",J55)</f>
        <v>Изменение стоимости основных фондов за счет их ввода в эксплуатацию (вывода из эксплуатации)</v>
      </c>
      <c r="N55" s="1144" t="str">
        <f aca="false">IF(K55=0,"",K55)</f>
        <v>Указываются общее изменение стоимости основных фондов за счет их ввода в эксплуатацию и вывода из эксплуатации.</v>
      </c>
      <c r="O55" s="1157" t="s">
        <v>329</v>
      </c>
      <c r="P55" s="1157" t="s">
        <v>688</v>
      </c>
      <c r="Q55" s="1157" t="s">
        <v>688</v>
      </c>
      <c r="R55" s="1157" t="s">
        <v>688</v>
      </c>
      <c r="S55" s="1157"/>
      <c r="T55" s="1141" t="s">
        <v>2079</v>
      </c>
      <c r="U55" s="1141" t="s">
        <v>2080</v>
      </c>
      <c r="V55" s="1141" t="s">
        <v>2080</v>
      </c>
      <c r="W55" s="1141" t="s">
        <v>2080</v>
      </c>
      <c r="X55" s="1141"/>
      <c r="Y55" s="1145"/>
      <c r="Z55" s="1126" t="s">
        <v>2081</v>
      </c>
      <c r="AA55" s="1126" t="s">
        <v>2081</v>
      </c>
      <c r="AB55" s="1126" t="s">
        <v>2081</v>
      </c>
      <c r="AC55" s="1126" t="s">
        <v>2081</v>
      </c>
      <c r="AD55" s="1126"/>
    </row>
    <row r="56" customFormat="false" ht="27" hidden="false" customHeight="true" outlineLevel="0" collapsed="false">
      <c r="A56" s="1143"/>
      <c r="B56" s="1146" t="n">
        <v>39</v>
      </c>
      <c r="C56" s="1141" t="s">
        <v>960</v>
      </c>
      <c r="D56" s="1154"/>
      <c r="E56" s="1141"/>
      <c r="F56" s="1141"/>
      <c r="G56" s="1141"/>
      <c r="H56" s="1159"/>
      <c r="I56" s="1156" t="str">
        <f aca="false">INDEX(TEMPLATE_NUMBER_POINT_FHD,B56,MATCH(TEMPLATE_SPHERE,TEMPLATE_SPHERE_LIST_FOR_NOTE,0))</f>
        <v>4.1.1</v>
      </c>
      <c r="J56" s="1156" t="str">
        <f aca="false">INDEX(TEMPLATE_DATA_POINT_FHD,B56,MATCH(TEMPLATE_SPHERE,TEMPLATE_SPHERE_LIST_FOR_NOTE,0))</f>
        <v>Изменение стоимости основных фондов за счет их ввода в эксплуатацию</v>
      </c>
      <c r="K56" s="1156" t="str">
        <f aca="false">INDEX(TEMPLATE_NOTE_POINT_FHD,B56,MATCH(TEMPLATE_SPHERE,TEMPLATE_SPHERE_LIST_FOR_NOTE,0))</f>
        <v>Указываются изменение стоимости основных фондов за счет их ввода в эксплуатацию.</v>
      </c>
      <c r="L56" s="1144" t="str">
        <f aca="false">IF(I56=0,"",I56)</f>
        <v>4.1.1</v>
      </c>
      <c r="M56" s="1144" t="str">
        <f aca="false">IF(J56=0,"",J56)</f>
        <v>Изменение стоимости основных фондов за счет их ввода в эксплуатацию</v>
      </c>
      <c r="N56" s="1144" t="str">
        <f aca="false">IF(K56=0,"",K56)</f>
        <v>Указываются изменение стоимости основных фондов за счет их ввода в эксплуатацию.</v>
      </c>
      <c r="O56" s="1157" t="s">
        <v>1077</v>
      </c>
      <c r="P56" s="1157" t="s">
        <v>691</v>
      </c>
      <c r="Q56" s="1157" t="s">
        <v>691</v>
      </c>
      <c r="R56" s="1157" t="s">
        <v>691</v>
      </c>
      <c r="S56" s="1157"/>
      <c r="T56" s="1141" t="s">
        <v>2082</v>
      </c>
      <c r="U56" s="1141" t="s">
        <v>2083</v>
      </c>
      <c r="V56" s="1141" t="s">
        <v>2083</v>
      </c>
      <c r="W56" s="1141" t="s">
        <v>2083</v>
      </c>
      <c r="X56" s="1141"/>
      <c r="Y56" s="1145"/>
      <c r="Z56" s="1126" t="s">
        <v>693</v>
      </c>
      <c r="AA56" s="1126" t="s">
        <v>693</v>
      </c>
      <c r="AB56" s="1126" t="s">
        <v>693</v>
      </c>
      <c r="AC56" s="1126" t="s">
        <v>693</v>
      </c>
      <c r="AD56" s="1126"/>
    </row>
    <row r="57" customFormat="false" ht="27" hidden="false" customHeight="true" outlineLevel="0" collapsed="false">
      <c r="A57" s="1143"/>
      <c r="B57" s="1146" t="n">
        <v>40</v>
      </c>
      <c r="C57" s="1141" t="s">
        <v>962</v>
      </c>
      <c r="D57" s="1154"/>
      <c r="E57" s="1141"/>
      <c r="F57" s="1141"/>
      <c r="G57" s="1141"/>
      <c r="H57" s="1159"/>
      <c r="I57" s="1156" t="str">
        <f aca="false">INDEX(TEMPLATE_NUMBER_POINT_FHD,B57,MATCH(TEMPLATE_SPHERE,TEMPLATE_SPHERE_LIST_FOR_NOTE,0))</f>
        <v>4.1.2</v>
      </c>
      <c r="J57" s="1156" t="str">
        <f aca="false">INDEX(TEMPLATE_DATA_POINT_FHD,B57,MATCH(TEMPLATE_SPHERE,TEMPLATE_SPHERE_LIST_FOR_NOTE,0))</f>
        <v>Изменение стоимости основных фондов за счет их вывода в эксплуатацию</v>
      </c>
      <c r="K57" s="1156" t="str">
        <f aca="false">INDEX(TEMPLATE_NOTE_POINT_FHD,B57,MATCH(TEMPLATE_SPHERE,TEMPLATE_SPHERE_LIST_FOR_NOTE,0))</f>
        <v>Указываются изменение стоимости основных фондов за счет их вывода из эксплуатации.</v>
      </c>
      <c r="L57" s="1144" t="str">
        <f aca="false">IF(I57=0,"",I57)</f>
        <v>4.1.2</v>
      </c>
      <c r="M57" s="1144" t="str">
        <f aca="false">IF(J57=0,"",J57)</f>
        <v>Изменение стоимости основных фондов за счет их вывода в эксплуатацию</v>
      </c>
      <c r="N57" s="1144" t="str">
        <f aca="false">IF(K57=0,"",K57)</f>
        <v>Указываются изменение стоимости основных фондов за счет их вывода из эксплуатации.</v>
      </c>
      <c r="O57" s="1157" t="s">
        <v>2084</v>
      </c>
      <c r="P57" s="1157" t="s">
        <v>694</v>
      </c>
      <c r="Q57" s="1157" t="s">
        <v>694</v>
      </c>
      <c r="R57" s="1157" t="s">
        <v>694</v>
      </c>
      <c r="S57" s="1157"/>
      <c r="T57" s="1141" t="s">
        <v>2085</v>
      </c>
      <c r="U57" s="1141" t="s">
        <v>2086</v>
      </c>
      <c r="V57" s="1141" t="s">
        <v>2086</v>
      </c>
      <c r="W57" s="1141" t="s">
        <v>2086</v>
      </c>
      <c r="X57" s="1141"/>
      <c r="Y57" s="1145"/>
      <c r="Z57" s="1126" t="s">
        <v>696</v>
      </c>
      <c r="AA57" s="1126" t="s">
        <v>696</v>
      </c>
      <c r="AB57" s="1126" t="s">
        <v>696</v>
      </c>
      <c r="AC57" s="1126" t="s">
        <v>696</v>
      </c>
      <c r="AD57" s="1126"/>
    </row>
    <row r="58" customFormat="false" ht="18" hidden="false" customHeight="true" outlineLevel="0" collapsed="false">
      <c r="A58" s="1143"/>
      <c r="B58" s="1146" t="n">
        <v>41</v>
      </c>
      <c r="C58" s="1141" t="n">
        <v>2</v>
      </c>
      <c r="D58" s="1154"/>
      <c r="E58" s="1141"/>
      <c r="F58" s="1141"/>
      <c r="G58" s="1141"/>
      <c r="H58" s="1159"/>
      <c r="I58" s="1156" t="str">
        <f aca="false">INDEX(TEMPLATE_NUMBER_POINT_FHD,B58,MATCH(TEMPLATE_SPHERE,TEMPLATE_SPHERE_LIST_FOR_NOTE,0))</f>
        <v>4.2</v>
      </c>
      <c r="J58" s="1156" t="str">
        <f aca="false">INDEX(TEMPLATE_DATA_POINT_FHD,B58,MATCH(TEMPLATE_SPHERE,TEMPLATE_SPHERE_LIST_FOR_NOTE,0))</f>
        <v>Изменение стоимости основных фондов за счет их переоценки</v>
      </c>
      <c r="K58" s="1156" t="n">
        <f aca="false">INDEX(TEMPLATE_NOTE_POINT_FHD,B58,MATCH(TEMPLATE_SPHERE,TEMPLATE_SPHERE_LIST_FOR_NOTE,0))</f>
        <v>0</v>
      </c>
      <c r="L58" s="1144" t="str">
        <f aca="false">IF(I58=0,"",I58)</f>
        <v>4.2</v>
      </c>
      <c r="M58" s="1144" t="str">
        <f aca="false">IF(J58=0,"",J58)</f>
        <v>Изменение стоимости основных фондов за счет их переоценки</v>
      </c>
      <c r="N58" s="1144" t="str">
        <f aca="false">IF(K58=0,"",K58)</f>
        <v/>
      </c>
      <c r="O58" s="1157" t="s">
        <v>817</v>
      </c>
      <c r="P58" s="1157" t="s">
        <v>731</v>
      </c>
      <c r="Q58" s="1157" t="s">
        <v>731</v>
      </c>
      <c r="R58" s="1157" t="s">
        <v>731</v>
      </c>
      <c r="S58" s="1157"/>
      <c r="T58" s="1141" t="s">
        <v>2087</v>
      </c>
      <c r="U58" s="1141" t="s">
        <v>2087</v>
      </c>
      <c r="V58" s="1141" t="s">
        <v>2087</v>
      </c>
      <c r="W58" s="1141" t="s">
        <v>2087</v>
      </c>
      <c r="X58" s="1141"/>
      <c r="Y58" s="1145"/>
      <c r="Z58" s="1126"/>
      <c r="AA58" s="1133"/>
      <c r="AB58" s="1126"/>
      <c r="AC58" s="1126"/>
      <c r="AD58" s="1126"/>
    </row>
    <row r="59" customFormat="false" ht="36" hidden="false" customHeight="true" outlineLevel="0" collapsed="false">
      <c r="A59" s="1143"/>
      <c r="B59" s="1146" t="n">
        <v>42</v>
      </c>
      <c r="C59" s="1141" t="n">
        <v>3</v>
      </c>
      <c r="D59" s="1154" t="s">
        <v>2072</v>
      </c>
      <c r="E59" s="1141" t="s">
        <v>2072</v>
      </c>
      <c r="F59" s="1141" t="s">
        <v>2072</v>
      </c>
      <c r="G59" s="1141"/>
      <c r="H59" s="1159"/>
      <c r="I59" s="1156" t="str">
        <f aca="false">INDEX(TEMPLATE_NUMBER_POINT_FHD,B59,MATCH(TEMPLATE_SPHERE,TEMPLATE_SPHERE_LIST_FOR_NOTE,0))</f>
        <v>5</v>
      </c>
      <c r="J59" s="1156" t="str">
        <f aca="false">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56" t="n">
        <f aca="false">INDEX(TEMPLATE_NOTE_POINT_FHD,B59,MATCH(TEMPLATE_SPHERE,TEMPLATE_SPHERE_LIST_FOR_NOTE,0))</f>
        <v>0</v>
      </c>
      <c r="L59" s="1144" t="str">
        <f aca="false">IF(I59=0,"",I59)</f>
        <v>5</v>
      </c>
      <c r="M59" s="1144" t="str">
        <f aca="false">IF(J59=0,"",J59)</f>
        <v>Валовая прибыль (убытки) от продажи товаров и услуг по регулируемым видам деятельности в сфере горячего водоснабжения</v>
      </c>
      <c r="N59" s="1144" t="str">
        <f aca="false">IF(K59=0,"",K59)</f>
        <v/>
      </c>
      <c r="O59" s="1157"/>
      <c r="P59" s="1157" t="s">
        <v>118</v>
      </c>
      <c r="Q59" s="1157" t="s">
        <v>118</v>
      </c>
      <c r="R59" s="1157" t="s">
        <v>118</v>
      </c>
      <c r="S59" s="1157"/>
      <c r="T59" s="1141"/>
      <c r="U59" s="1141" t="s">
        <v>2088</v>
      </c>
      <c r="V59" s="1141" t="s">
        <v>2089</v>
      </c>
      <c r="W59" s="1141" t="s">
        <v>2090</v>
      </c>
      <c r="X59" s="1141"/>
      <c r="Y59" s="1145"/>
      <c r="Z59" s="1126"/>
      <c r="AA59" s="1133"/>
      <c r="AB59" s="1126"/>
      <c r="AC59" s="1126"/>
      <c r="AD59" s="1126"/>
    </row>
    <row r="60" customFormat="false" ht="81" hidden="false" customHeight="true" outlineLevel="0" collapsed="false">
      <c r="A60" s="1143"/>
      <c r="B60" s="1146" t="n">
        <v>43</v>
      </c>
      <c r="C60" s="1141" t="s">
        <v>2091</v>
      </c>
      <c r="D60" s="1154" t="s">
        <v>2091</v>
      </c>
      <c r="E60" s="1141" t="s">
        <v>2091</v>
      </c>
      <c r="F60" s="1141" t="s">
        <v>2091</v>
      </c>
      <c r="G60" s="1141"/>
      <c r="H60" s="1159"/>
      <c r="I60" s="1156" t="str">
        <f aca="false">INDEX(TEMPLATE_NUMBER_POINT_FHD,B60,MATCH(TEMPLATE_SPHERE,TEMPLATE_SPHERE_LIST_FOR_NOTE,0))</f>
        <v>6</v>
      </c>
      <c r="J60" s="1156"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156" t="str">
        <f aca="false">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144" t="str">
        <f aca="false">IF(I60=0,"",I60)</f>
        <v>6</v>
      </c>
      <c r="M60" s="1144" t="str">
        <f aca="false">IF(J60=0,"",J60)</f>
        <v>Годовая бухгалтерская (финансовая) отчетность, включая бухгалтерский баланс и приложения к нему</v>
      </c>
      <c r="N60" s="1144" t="str">
        <f aca="false">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57" t="s">
        <v>88</v>
      </c>
      <c r="P60" s="1157" t="s">
        <v>88</v>
      </c>
      <c r="Q60" s="1157" t="s">
        <v>88</v>
      </c>
      <c r="R60" s="1157" t="s">
        <v>88</v>
      </c>
      <c r="S60" s="1157"/>
      <c r="T60" s="1141" t="s">
        <v>700</v>
      </c>
      <c r="U60" s="1141" t="s">
        <v>700</v>
      </c>
      <c r="V60" s="1141" t="s">
        <v>700</v>
      </c>
      <c r="W60" s="1141" t="s">
        <v>700</v>
      </c>
      <c r="X60" s="1141"/>
      <c r="Y60" s="1145"/>
      <c r="Z60" s="1126" t="s">
        <v>2092</v>
      </c>
      <c r="AA60" s="1133" t="s">
        <v>2093</v>
      </c>
      <c r="AB60" s="1126" t="s">
        <v>2094</v>
      </c>
      <c r="AC60" s="1126" t="s">
        <v>2093</v>
      </c>
      <c r="AD60" s="1126"/>
    </row>
    <row r="61" customFormat="false" ht="9" hidden="false" customHeight="true" outlineLevel="0" collapsed="false">
      <c r="A61" s="1143"/>
      <c r="B61" s="1146" t="n">
        <v>44</v>
      </c>
      <c r="C61" s="1141"/>
      <c r="D61" s="1154" t="s">
        <v>2095</v>
      </c>
      <c r="E61" s="1141"/>
      <c r="F61" s="1141"/>
      <c r="G61" s="1141"/>
      <c r="H61" s="1159"/>
      <c r="I61" s="1156" t="n">
        <f aca="false">INDEX(TEMPLATE_NUMBER_POINT_FHD,B61,MATCH(TEMPLATE_SPHERE,TEMPLATE_SPHERE_LIST_FOR_NOTE,0))</f>
        <v>0</v>
      </c>
      <c r="J61" s="1156" t="n">
        <f aca="false">INDEX(TEMPLATE_DATA_POINT_FHD,B61,MATCH(TEMPLATE_SPHERE,TEMPLATE_SPHERE_LIST_FOR_NOTE,0))</f>
        <v>0</v>
      </c>
      <c r="K61" s="1156" t="n">
        <f aca="false">INDEX(TEMPLATE_NOTE_POINT_FHD,B61,MATCH(TEMPLATE_SPHERE,TEMPLATE_SPHERE_LIST_FOR_NOTE,0))</f>
        <v>0</v>
      </c>
      <c r="L61" s="1144" t="str">
        <f aca="false">IF(I61=0,"",I61)</f>
        <v/>
      </c>
      <c r="M61" s="1144" t="str">
        <f aca="false">IF(J61=0,"",J61)</f>
        <v/>
      </c>
      <c r="N61" s="1144" t="str">
        <f aca="false">IF(K61=0,"",K61)</f>
        <v/>
      </c>
      <c r="O61" s="1157"/>
      <c r="P61" s="1157" t="s">
        <v>89</v>
      </c>
      <c r="Q61" s="1157"/>
      <c r="R61" s="1157"/>
      <c r="S61" s="1157"/>
      <c r="T61" s="1141"/>
      <c r="U61" s="1141" t="s">
        <v>2096</v>
      </c>
      <c r="V61" s="1141"/>
      <c r="W61" s="1141"/>
      <c r="X61" s="1141"/>
      <c r="Y61" s="1145"/>
      <c r="Z61" s="1126"/>
      <c r="AA61" s="1133"/>
      <c r="AB61" s="1126"/>
      <c r="AC61" s="1126"/>
      <c r="AD61" s="1126"/>
    </row>
    <row r="62" customFormat="false" ht="9" hidden="false" customHeight="true" outlineLevel="0" collapsed="false">
      <c r="A62" s="1143"/>
      <c r="B62" s="1146" t="n">
        <v>45</v>
      </c>
      <c r="C62" s="1141"/>
      <c r="D62" s="1154" t="s">
        <v>2097</v>
      </c>
      <c r="E62" s="1141"/>
      <c r="F62" s="1141"/>
      <c r="G62" s="1141"/>
      <c r="H62" s="1159"/>
      <c r="I62" s="1156" t="n">
        <f aca="false">INDEX(TEMPLATE_NUMBER_POINT_FHD,B62,MATCH(TEMPLATE_SPHERE,TEMPLATE_SPHERE_LIST_FOR_NOTE,0))</f>
        <v>0</v>
      </c>
      <c r="J62" s="1156" t="n">
        <f aca="false">INDEX(TEMPLATE_DATA_POINT_FHD,B62,MATCH(TEMPLATE_SPHERE,TEMPLATE_SPHERE_LIST_FOR_NOTE,0))</f>
        <v>0</v>
      </c>
      <c r="K62" s="1156" t="n">
        <f aca="false">INDEX(TEMPLATE_NOTE_POINT_FHD,B62,MATCH(TEMPLATE_SPHERE,TEMPLATE_SPHERE_LIST_FOR_NOTE,0))</f>
        <v>0</v>
      </c>
      <c r="L62" s="1144" t="str">
        <f aca="false">IF(I62=0,"",I62)</f>
        <v/>
      </c>
      <c r="M62" s="1144" t="str">
        <f aca="false">IF(J62=0,"",J62)</f>
        <v/>
      </c>
      <c r="N62" s="1144" t="str">
        <f aca="false">IF(K62=0,"",K62)</f>
        <v/>
      </c>
      <c r="O62" s="1157"/>
      <c r="P62" s="1157" t="s">
        <v>119</v>
      </c>
      <c r="Q62" s="1157"/>
      <c r="R62" s="1157"/>
      <c r="S62" s="1157"/>
      <c r="T62" s="1141"/>
      <c r="U62" s="1141" t="s">
        <v>2098</v>
      </c>
      <c r="V62" s="1141"/>
      <c r="W62" s="1141"/>
      <c r="X62" s="1141"/>
      <c r="Y62" s="1145"/>
      <c r="Z62" s="1126"/>
      <c r="AA62" s="1133"/>
      <c r="AB62" s="1126"/>
      <c r="AC62" s="1126"/>
      <c r="AD62" s="1126"/>
    </row>
    <row r="63" customFormat="false" ht="18" hidden="false" customHeight="true" outlineLevel="0" collapsed="false">
      <c r="A63" s="1143"/>
      <c r="B63" s="1146" t="n">
        <v>46</v>
      </c>
      <c r="C63" s="1141"/>
      <c r="D63" s="1154" t="s">
        <v>2099</v>
      </c>
      <c r="E63" s="1141"/>
      <c r="F63" s="1141"/>
      <c r="G63" s="1141"/>
      <c r="H63" s="1159"/>
      <c r="I63" s="1156" t="n">
        <f aca="false">INDEX(TEMPLATE_NUMBER_POINT_FHD,B63,MATCH(TEMPLATE_SPHERE,TEMPLATE_SPHERE_LIST_FOR_NOTE,0))</f>
        <v>0</v>
      </c>
      <c r="J63" s="1156" t="n">
        <f aca="false">INDEX(TEMPLATE_DATA_POINT_FHD,B63,MATCH(TEMPLATE_SPHERE,TEMPLATE_SPHERE_LIST_FOR_NOTE,0))</f>
        <v>0</v>
      </c>
      <c r="K63" s="1156" t="n">
        <f aca="false">INDEX(TEMPLATE_NOTE_POINT_FHD,B63,MATCH(TEMPLATE_SPHERE,TEMPLATE_SPHERE_LIST_FOR_NOTE,0))</f>
        <v>0</v>
      </c>
      <c r="L63" s="1144" t="str">
        <f aca="false">IF(I63=0,"",I63)</f>
        <v/>
      </c>
      <c r="M63" s="1144" t="str">
        <f aca="false">IF(J63=0,"",J63)</f>
        <v/>
      </c>
      <c r="N63" s="1144" t="str">
        <f aca="false">IF(K63=0,"",K63)</f>
        <v/>
      </c>
      <c r="O63" s="1157"/>
      <c r="P63" s="1157" t="s">
        <v>155</v>
      </c>
      <c r="Q63" s="1157"/>
      <c r="R63" s="1157"/>
      <c r="S63" s="1157"/>
      <c r="T63" s="1141"/>
      <c r="U63" s="1141" t="s">
        <v>2100</v>
      </c>
      <c r="V63" s="1141"/>
      <c r="W63" s="1141"/>
      <c r="X63" s="1141"/>
      <c r="Y63" s="1145"/>
      <c r="Z63" s="1126"/>
      <c r="AA63" s="1133"/>
      <c r="AB63" s="1126"/>
      <c r="AC63" s="1126"/>
      <c r="AD63" s="1126"/>
    </row>
    <row r="64" customFormat="false" ht="18" hidden="false" customHeight="true" outlineLevel="0" collapsed="false">
      <c r="A64" s="1143"/>
      <c r="B64" s="1146" t="n">
        <v>47</v>
      </c>
      <c r="C64" s="1141"/>
      <c r="D64" s="1154" t="s">
        <v>2101</v>
      </c>
      <c r="E64" s="1141"/>
      <c r="F64" s="1141"/>
      <c r="G64" s="1141"/>
      <c r="H64" s="1159"/>
      <c r="I64" s="1156" t="n">
        <f aca="false">INDEX(TEMPLATE_NUMBER_POINT_FHD,B64,MATCH(TEMPLATE_SPHERE,TEMPLATE_SPHERE_LIST_FOR_NOTE,0))</f>
        <v>0</v>
      </c>
      <c r="J64" s="1156" t="n">
        <f aca="false">INDEX(TEMPLATE_DATA_POINT_FHD,B64,MATCH(TEMPLATE_SPHERE,TEMPLATE_SPHERE_LIST_FOR_NOTE,0))</f>
        <v>0</v>
      </c>
      <c r="K64" s="1156" t="n">
        <f aca="false">INDEX(TEMPLATE_NOTE_POINT_FHD,B64,MATCH(TEMPLATE_SPHERE,TEMPLATE_SPHERE_LIST_FOR_NOTE,0))</f>
        <v>0</v>
      </c>
      <c r="L64" s="1144" t="str">
        <f aca="false">IF(I64=0,"",I64)</f>
        <v/>
      </c>
      <c r="M64" s="1144" t="str">
        <f aca="false">IF(J64=0,"",J64)</f>
        <v/>
      </c>
      <c r="N64" s="1144" t="str">
        <f aca="false">IF(K64=0,"",K64)</f>
        <v/>
      </c>
      <c r="O64" s="1157"/>
      <c r="P64" s="1157" t="s">
        <v>156</v>
      </c>
      <c r="Q64" s="1157"/>
      <c r="R64" s="1157"/>
      <c r="S64" s="1157"/>
      <c r="T64" s="1141"/>
      <c r="U64" s="1141" t="s">
        <v>2102</v>
      </c>
      <c r="V64" s="1141"/>
      <c r="W64" s="1141"/>
      <c r="X64" s="1141"/>
      <c r="Y64" s="1145"/>
      <c r="Z64" s="1126"/>
      <c r="AA64" s="1133" t="s">
        <v>2103</v>
      </c>
      <c r="AB64" s="1126"/>
      <c r="AC64" s="1126"/>
      <c r="AD64" s="1126"/>
    </row>
    <row r="65" customFormat="false" ht="18" hidden="false" customHeight="true" outlineLevel="0" collapsed="false">
      <c r="A65" s="1143"/>
      <c r="B65" s="1146" t="n">
        <v>48</v>
      </c>
      <c r="C65" s="1141"/>
      <c r="D65" s="1154"/>
      <c r="E65" s="1141"/>
      <c r="F65" s="1141"/>
      <c r="G65" s="1141"/>
      <c r="H65" s="1159"/>
      <c r="I65" s="1156" t="n">
        <f aca="false">INDEX(TEMPLATE_NUMBER_POINT_FHD,B65,MATCH(TEMPLATE_SPHERE,TEMPLATE_SPHERE_LIST_FOR_NOTE,0))</f>
        <v>0</v>
      </c>
      <c r="J65" s="1156" t="n">
        <f aca="false">INDEX(TEMPLATE_DATA_POINT_FHD,B65,MATCH(TEMPLATE_SPHERE,TEMPLATE_SPHERE_LIST_FOR_NOTE,0))</f>
        <v>0</v>
      </c>
      <c r="K65" s="1156" t="n">
        <f aca="false">INDEX(TEMPLATE_NOTE_POINT_FHD,B65,MATCH(TEMPLATE_SPHERE,TEMPLATE_SPHERE_LIST_FOR_NOTE,0))</f>
        <v>0</v>
      </c>
      <c r="L65" s="1144" t="str">
        <f aca="false">IF(I65=0,"",I65)</f>
        <v/>
      </c>
      <c r="M65" s="1144" t="str">
        <f aca="false">IF(J65=0,"",J65)</f>
        <v/>
      </c>
      <c r="N65" s="1144" t="str">
        <f aca="false">IF(K65=0,"",K65)</f>
        <v/>
      </c>
      <c r="O65" s="1157"/>
      <c r="P65" s="1157" t="s">
        <v>2013</v>
      </c>
      <c r="Q65" s="1157"/>
      <c r="R65" s="1157"/>
      <c r="S65" s="1157"/>
      <c r="T65" s="1141"/>
      <c r="U65" s="1141" t="s">
        <v>2104</v>
      </c>
      <c r="V65" s="1141"/>
      <c r="W65" s="1141"/>
      <c r="X65" s="1141"/>
      <c r="Y65" s="1145"/>
      <c r="Z65" s="1126"/>
      <c r="AA65" s="1133"/>
      <c r="AB65" s="1126"/>
      <c r="AC65" s="1126"/>
      <c r="AD65" s="1126"/>
    </row>
    <row r="66" customFormat="false" ht="18" hidden="false" customHeight="true" outlineLevel="0" collapsed="false">
      <c r="A66" s="1143"/>
      <c r="B66" s="1146" t="n">
        <v>49</v>
      </c>
      <c r="C66" s="1141"/>
      <c r="D66" s="1154"/>
      <c r="E66" s="1141"/>
      <c r="F66" s="1141"/>
      <c r="G66" s="1141"/>
      <c r="H66" s="1159"/>
      <c r="I66" s="1156" t="n">
        <f aca="false">INDEX(TEMPLATE_NUMBER_POINT_FHD,B66,MATCH(TEMPLATE_SPHERE,TEMPLATE_SPHERE_LIST_FOR_NOTE,0))</f>
        <v>0</v>
      </c>
      <c r="J66" s="1156" t="n">
        <f aca="false">INDEX(TEMPLATE_DATA_POINT_FHD,B66,MATCH(TEMPLATE_SPHERE,TEMPLATE_SPHERE_LIST_FOR_NOTE,0))</f>
        <v>0</v>
      </c>
      <c r="K66" s="1156" t="n">
        <f aca="false">INDEX(TEMPLATE_NOTE_POINT_FHD,B66,MATCH(TEMPLATE_SPHERE,TEMPLATE_SPHERE_LIST_FOR_NOTE,0))</f>
        <v>0</v>
      </c>
      <c r="L66" s="1144" t="str">
        <f aca="false">IF(I66=0,"",I66)</f>
        <v/>
      </c>
      <c r="M66" s="1144" t="str">
        <f aca="false">IF(J66=0,"",J66)</f>
        <v/>
      </c>
      <c r="N66" s="1144" t="str">
        <f aca="false">IF(K66=0,"",K66)</f>
        <v/>
      </c>
      <c r="O66" s="1157"/>
      <c r="P66" s="1157" t="s">
        <v>2017</v>
      </c>
      <c r="Q66" s="1157"/>
      <c r="R66" s="1157"/>
      <c r="S66" s="1157"/>
      <c r="T66" s="1141"/>
      <c r="U66" s="1141" t="s">
        <v>2105</v>
      </c>
      <c r="V66" s="1141"/>
      <c r="W66" s="1141"/>
      <c r="X66" s="1141"/>
      <c r="Y66" s="1145"/>
      <c r="Z66" s="1126"/>
      <c r="AA66" s="1133"/>
      <c r="AB66" s="1126"/>
      <c r="AC66" s="1126"/>
      <c r="AD66" s="1126"/>
    </row>
    <row r="67" customFormat="false" ht="27" hidden="false" customHeight="true" outlineLevel="0" collapsed="false">
      <c r="A67" s="1143"/>
      <c r="B67" s="1146" t="n">
        <v>50</v>
      </c>
      <c r="C67" s="1141"/>
      <c r="D67" s="1154"/>
      <c r="E67" s="1141"/>
      <c r="F67" s="1141"/>
      <c r="G67" s="1141"/>
      <c r="H67" s="1159"/>
      <c r="I67" s="1156" t="n">
        <f aca="false">INDEX(TEMPLATE_NUMBER_POINT_FHD,B67,MATCH(TEMPLATE_SPHERE,TEMPLATE_SPHERE_LIST_FOR_NOTE,0))</f>
        <v>0</v>
      </c>
      <c r="J67" s="1156" t="n">
        <f aca="false">INDEX(TEMPLATE_DATA_POINT_FHD,B67,MATCH(TEMPLATE_SPHERE,TEMPLATE_SPHERE_LIST_FOR_NOTE,0))</f>
        <v>0</v>
      </c>
      <c r="K67" s="1156" t="n">
        <f aca="false">INDEX(TEMPLATE_NOTE_POINT_FHD,B67,MATCH(TEMPLATE_SPHERE,TEMPLATE_SPHERE_LIST_FOR_NOTE,0))</f>
        <v>0</v>
      </c>
      <c r="L67" s="1144" t="str">
        <f aca="false">IF(I67=0,"",I67)</f>
        <v/>
      </c>
      <c r="M67" s="1144" t="str">
        <f aca="false">IF(J67=0,"",J67)</f>
        <v/>
      </c>
      <c r="N67" s="1144" t="str">
        <f aca="false">IF(K67=0,"",K67)</f>
        <v/>
      </c>
      <c r="O67" s="1157"/>
      <c r="P67" s="1157" t="s">
        <v>2106</v>
      </c>
      <c r="Q67" s="1157"/>
      <c r="R67" s="1157"/>
      <c r="S67" s="1157"/>
      <c r="T67" s="1141"/>
      <c r="U67" s="1141" t="s">
        <v>2107</v>
      </c>
      <c r="V67" s="1141"/>
      <c r="W67" s="1141"/>
      <c r="X67" s="1141"/>
      <c r="Y67" s="1145"/>
      <c r="Z67" s="1126"/>
      <c r="AA67" s="1133"/>
      <c r="AB67" s="1126"/>
      <c r="AC67" s="1126"/>
      <c r="AD67" s="1126"/>
    </row>
    <row r="68" customFormat="false" ht="27" hidden="false" customHeight="true" outlineLevel="0" collapsed="false">
      <c r="A68" s="1143"/>
      <c r="B68" s="1146" t="n">
        <v>51</v>
      </c>
      <c r="C68" s="1141"/>
      <c r="D68" s="1154"/>
      <c r="E68" s="1141"/>
      <c r="F68" s="1141"/>
      <c r="G68" s="1141"/>
      <c r="H68" s="1159"/>
      <c r="I68" s="1156" t="n">
        <f aca="false">INDEX(TEMPLATE_NUMBER_POINT_FHD,B68,MATCH(TEMPLATE_SPHERE,TEMPLATE_SPHERE_LIST_FOR_NOTE,0))</f>
        <v>0</v>
      </c>
      <c r="J68" s="1156" t="n">
        <f aca="false">INDEX(TEMPLATE_DATA_POINT_FHD,B68,MATCH(TEMPLATE_SPHERE,TEMPLATE_SPHERE_LIST_FOR_NOTE,0))</f>
        <v>0</v>
      </c>
      <c r="K68" s="1156" t="n">
        <f aca="false">INDEX(TEMPLATE_NOTE_POINT_FHD,B68,MATCH(TEMPLATE_SPHERE,TEMPLATE_SPHERE_LIST_FOR_NOTE,0))</f>
        <v>0</v>
      </c>
      <c r="L68" s="1144" t="str">
        <f aca="false">IF(I68=0,"",I68)</f>
        <v/>
      </c>
      <c r="M68" s="1144" t="str">
        <f aca="false">IF(J68=0,"",J68)</f>
        <v/>
      </c>
      <c r="N68" s="1144" t="str">
        <f aca="false">IF(K68=0,"",K68)</f>
        <v/>
      </c>
      <c r="O68" s="1157"/>
      <c r="P68" s="1157" t="s">
        <v>2108</v>
      </c>
      <c r="Q68" s="1157"/>
      <c r="R68" s="1157"/>
      <c r="S68" s="1157"/>
      <c r="T68" s="1141"/>
      <c r="U68" s="1141" t="s">
        <v>2109</v>
      </c>
      <c r="V68" s="1141"/>
      <c r="W68" s="1141"/>
      <c r="X68" s="1141"/>
      <c r="Y68" s="1145"/>
      <c r="Z68" s="1126"/>
      <c r="AA68" s="1133"/>
      <c r="AB68" s="1126"/>
      <c r="AC68" s="1126"/>
      <c r="AD68" s="1126"/>
    </row>
    <row r="69" customFormat="false" ht="9" hidden="false" customHeight="true" outlineLevel="0" collapsed="false">
      <c r="A69" s="1143"/>
      <c r="B69" s="1146" t="n">
        <v>52</v>
      </c>
      <c r="C69" s="1141"/>
      <c r="D69" s="1154" t="s">
        <v>2110</v>
      </c>
      <c r="E69" s="1141"/>
      <c r="F69" s="1141"/>
      <c r="G69" s="1141"/>
      <c r="H69" s="1159"/>
      <c r="I69" s="1156" t="n">
        <f aca="false">INDEX(TEMPLATE_NUMBER_POINT_FHD,B69,MATCH(TEMPLATE_SPHERE,TEMPLATE_SPHERE_LIST_FOR_NOTE,0))</f>
        <v>0</v>
      </c>
      <c r="J69" s="1156" t="n">
        <f aca="false">INDEX(TEMPLATE_DATA_POINT_FHD,B69,MATCH(TEMPLATE_SPHERE,TEMPLATE_SPHERE_LIST_FOR_NOTE,0))</f>
        <v>0</v>
      </c>
      <c r="K69" s="1156" t="n">
        <f aca="false">INDEX(TEMPLATE_NOTE_POINT_FHD,B69,MATCH(TEMPLATE_SPHERE,TEMPLATE_SPHERE_LIST_FOR_NOTE,0))</f>
        <v>0</v>
      </c>
      <c r="L69" s="1144" t="str">
        <f aca="false">IF(I69=0,"",I69)</f>
        <v/>
      </c>
      <c r="M69" s="1144" t="str">
        <f aca="false">IF(J69=0,"",J69)</f>
        <v/>
      </c>
      <c r="N69" s="1144" t="str">
        <f aca="false">IF(K69=0,"",K69)</f>
        <v/>
      </c>
      <c r="O69" s="1157"/>
      <c r="P69" s="1157" t="s">
        <v>157</v>
      </c>
      <c r="Q69" s="1157"/>
      <c r="R69" s="1157"/>
      <c r="S69" s="1157"/>
      <c r="T69" s="1141"/>
      <c r="U69" s="1141" t="s">
        <v>2111</v>
      </c>
      <c r="V69" s="1141"/>
      <c r="W69" s="1141"/>
      <c r="X69" s="1141"/>
      <c r="Y69" s="1145"/>
      <c r="Z69" s="1126"/>
      <c r="AA69" s="1133"/>
      <c r="AB69" s="1126"/>
      <c r="AC69" s="1126"/>
      <c r="AD69" s="1126"/>
    </row>
    <row r="70" customFormat="false" ht="27" hidden="false" customHeight="true" outlineLevel="0" collapsed="false">
      <c r="A70" s="1143"/>
      <c r="B70" s="1146" t="n">
        <v>53</v>
      </c>
      <c r="C70" s="1141"/>
      <c r="D70" s="1154"/>
      <c r="E70" s="1141" t="s">
        <v>2095</v>
      </c>
      <c r="F70" s="1141"/>
      <c r="G70" s="1141"/>
      <c r="H70" s="1159"/>
      <c r="I70" s="1156" t="str">
        <f aca="false">INDEX(TEMPLATE_NUMBER_POINT_FHD,B70,MATCH(TEMPLATE_SPHERE,TEMPLATE_SPHERE_LIST_FOR_NOTE,0))</f>
        <v>7</v>
      </c>
      <c r="J70" s="1156" t="str">
        <f aca="false">INDEX(TEMPLATE_DATA_POINT_FHD,B70,MATCH(TEMPLATE_SPHERE,TEMPLATE_SPHERE_LIST_FOR_NOTE,0))</f>
        <v>Объём приобретаемой холодной воды, используемой для горячего водоснабжения</v>
      </c>
      <c r="K70" s="1156" t="n">
        <f aca="false">INDEX(TEMPLATE_NOTE_POINT_FHD,B70,MATCH(TEMPLATE_SPHERE,TEMPLATE_SPHERE_LIST_FOR_NOTE,0))</f>
        <v>0</v>
      </c>
      <c r="L70" s="1144" t="str">
        <f aca="false">IF(I70=0,"",I70)</f>
        <v>7</v>
      </c>
      <c r="M70" s="1144" t="str">
        <f aca="false">IF(J70=0,"",J70)</f>
        <v>Объём приобретаемой холодной воды, используемой для горячего водоснабжения</v>
      </c>
      <c r="N70" s="1144" t="str">
        <f aca="false">IF(K70=0,"",K70)</f>
        <v/>
      </c>
      <c r="O70" s="1157"/>
      <c r="P70" s="1157"/>
      <c r="Q70" s="1157" t="s">
        <v>89</v>
      </c>
      <c r="R70" s="1157"/>
      <c r="S70" s="1157"/>
      <c r="T70" s="1141"/>
      <c r="U70" s="1141"/>
      <c r="V70" s="1141" t="s">
        <v>2112</v>
      </c>
      <c r="W70" s="1141"/>
      <c r="X70" s="1141"/>
      <c r="Y70" s="1145"/>
      <c r="Z70" s="1126"/>
      <c r="AA70" s="1133"/>
      <c r="AB70" s="1126"/>
      <c r="AC70" s="1126"/>
      <c r="AD70" s="1126"/>
    </row>
    <row r="71" customFormat="false" ht="36" hidden="false" customHeight="true" outlineLevel="0" collapsed="false">
      <c r="A71" s="1143"/>
      <c r="B71" s="1146" t="n">
        <v>54</v>
      </c>
      <c r="C71" s="1141"/>
      <c r="D71" s="1154"/>
      <c r="E71" s="1141" t="s">
        <v>2097</v>
      </c>
      <c r="F71" s="1141"/>
      <c r="G71" s="1141"/>
      <c r="H71" s="1159"/>
      <c r="I71" s="1156" t="str">
        <f aca="false">INDEX(TEMPLATE_NUMBER_POINT_FHD,B71,MATCH(TEMPLATE_SPHERE,TEMPLATE_SPHERE_LIST_FOR_NOTE,0))</f>
        <v>8</v>
      </c>
      <c r="J71" s="1156" t="str">
        <f aca="false">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56" t="n">
        <f aca="false">INDEX(TEMPLATE_NOTE_POINT_FHD,B71,MATCH(TEMPLATE_SPHERE,TEMPLATE_SPHERE_LIST_FOR_NOTE,0))</f>
        <v>0</v>
      </c>
      <c r="L71" s="1144" t="str">
        <f aca="false">IF(I71=0,"",I71)</f>
        <v>8</v>
      </c>
      <c r="M71" s="1144" t="str">
        <f aca="false">IF(J71=0,"",J71)</f>
        <v>Объём холодной воды, получаемой с применением собственных источников водозабора (скважин) и используемой для горячего водоснабжения</v>
      </c>
      <c r="N71" s="1144" t="str">
        <f aca="false">IF(K71=0,"",K71)</f>
        <v/>
      </c>
      <c r="O71" s="1157"/>
      <c r="P71" s="1157"/>
      <c r="Q71" s="1157" t="s">
        <v>119</v>
      </c>
      <c r="R71" s="1157"/>
      <c r="S71" s="1157"/>
      <c r="T71" s="1141"/>
      <c r="U71" s="1141"/>
      <c r="V71" s="1141" t="s">
        <v>2113</v>
      </c>
      <c r="W71" s="1141"/>
      <c r="X71" s="1141"/>
      <c r="Y71" s="1145"/>
      <c r="Z71" s="1126"/>
      <c r="AA71" s="1133"/>
      <c r="AB71" s="1126"/>
      <c r="AC71" s="1126"/>
      <c r="AD71" s="1126"/>
    </row>
    <row r="72" customFormat="false" ht="27" hidden="false" customHeight="true" outlineLevel="0" collapsed="false">
      <c r="A72" s="1143"/>
      <c r="B72" s="1146" t="n">
        <v>55</v>
      </c>
      <c r="C72" s="1141"/>
      <c r="D72" s="1154"/>
      <c r="E72" s="1141" t="s">
        <v>2099</v>
      </c>
      <c r="F72" s="1141"/>
      <c r="G72" s="1141"/>
      <c r="H72" s="1159"/>
      <c r="I72" s="1156" t="str">
        <f aca="false">INDEX(TEMPLATE_NUMBER_POINT_FHD,B72,MATCH(TEMPLATE_SPHERE,TEMPLATE_SPHERE_LIST_FOR_NOTE,0))</f>
        <v>9</v>
      </c>
      <c r="J72" s="1156" t="str">
        <f aca="false">INDEX(TEMPLATE_DATA_POINT_FHD,B72,MATCH(TEMPLATE_SPHERE,TEMPLATE_SPHERE_LIST_FOR_NOTE,0))</f>
        <v>Объём приобретаемой тепловой энергии (мощности), используемой для горячего водоснабжения</v>
      </c>
      <c r="K72" s="1156" t="n">
        <f aca="false">INDEX(TEMPLATE_NOTE_POINT_FHD,B72,MATCH(TEMPLATE_SPHERE,TEMPLATE_SPHERE_LIST_FOR_NOTE,0))</f>
        <v>0</v>
      </c>
      <c r="L72" s="1144" t="str">
        <f aca="false">IF(I72=0,"",I72)</f>
        <v>9</v>
      </c>
      <c r="M72" s="1144" t="str">
        <f aca="false">IF(J72=0,"",J72)</f>
        <v>Объём приобретаемой тепловой энергии (мощности), используемой для горячего водоснабжения</v>
      </c>
      <c r="N72" s="1144" t="str">
        <f aca="false">IF(K72=0,"",K72)</f>
        <v/>
      </c>
      <c r="O72" s="1157"/>
      <c r="P72" s="1157"/>
      <c r="Q72" s="1157" t="s">
        <v>155</v>
      </c>
      <c r="R72" s="1157"/>
      <c r="S72" s="1157"/>
      <c r="T72" s="1141"/>
      <c r="U72" s="1141"/>
      <c r="V72" s="1141" t="s">
        <v>2114</v>
      </c>
      <c r="W72" s="1141"/>
      <c r="X72" s="1141"/>
      <c r="Y72" s="1145"/>
      <c r="Z72" s="1126"/>
      <c r="AA72" s="1133"/>
      <c r="AB72" s="1126"/>
      <c r="AC72" s="1126"/>
      <c r="AD72" s="1126"/>
    </row>
    <row r="73" customFormat="false" ht="36" hidden="false" customHeight="true" outlineLevel="0" collapsed="false">
      <c r="A73" s="1143"/>
      <c r="B73" s="1146" t="n">
        <v>56</v>
      </c>
      <c r="C73" s="1141"/>
      <c r="D73" s="1154"/>
      <c r="E73" s="1141" t="s">
        <v>2101</v>
      </c>
      <c r="F73" s="1141"/>
      <c r="G73" s="1141"/>
      <c r="H73" s="1159"/>
      <c r="I73" s="1156" t="str">
        <f aca="false">INDEX(TEMPLATE_NUMBER_POINT_FHD,B73,MATCH(TEMPLATE_SPHERE,TEMPLATE_SPHERE_LIST_FOR_NOTE,0))</f>
        <v>10</v>
      </c>
      <c r="J73" s="1156" t="str">
        <f aca="false">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56" t="n">
        <f aca="false">INDEX(TEMPLATE_NOTE_POINT_FHD,B73,MATCH(TEMPLATE_SPHERE,TEMPLATE_SPHERE_LIST_FOR_NOTE,0))</f>
        <v>0</v>
      </c>
      <c r="L73" s="1144" t="str">
        <f aca="false">IF(I73=0,"",I73)</f>
        <v>10</v>
      </c>
      <c r="M73" s="1144" t="str">
        <f aca="false">IF(J73=0,"",J73)</f>
        <v>Объём тепловой энергии, производимой с применением собственных источников и используемой для горячего водоснабжения</v>
      </c>
      <c r="N73" s="1144" t="str">
        <f aca="false">IF(K73=0,"",K73)</f>
        <v/>
      </c>
      <c r="O73" s="1157"/>
      <c r="P73" s="1157"/>
      <c r="Q73" s="1157" t="s">
        <v>156</v>
      </c>
      <c r="R73" s="1157"/>
      <c r="S73" s="1157"/>
      <c r="T73" s="1141"/>
      <c r="U73" s="1141"/>
      <c r="V73" s="1141" t="s">
        <v>2115</v>
      </c>
      <c r="W73" s="1141"/>
      <c r="X73" s="1141"/>
      <c r="Y73" s="1145"/>
      <c r="Z73" s="1126"/>
      <c r="AA73" s="1133"/>
      <c r="AB73" s="1126"/>
      <c r="AC73" s="1126"/>
      <c r="AD73" s="1126"/>
    </row>
    <row r="74" customFormat="false" ht="18" hidden="false" customHeight="true" outlineLevel="0" collapsed="false">
      <c r="A74" s="1143"/>
      <c r="B74" s="1146" t="n">
        <v>57</v>
      </c>
      <c r="C74" s="1141"/>
      <c r="D74" s="1154"/>
      <c r="E74" s="1141" t="s">
        <v>2110</v>
      </c>
      <c r="F74" s="1141"/>
      <c r="G74" s="1141"/>
      <c r="H74" s="1159"/>
      <c r="I74" s="1156" t="str">
        <f aca="false">INDEX(TEMPLATE_NUMBER_POINT_FHD,B74,MATCH(TEMPLATE_SPHERE,TEMPLATE_SPHERE_LIST_FOR_NOTE,0))</f>
        <v>11</v>
      </c>
      <c r="J74" s="1156" t="str">
        <f aca="false">INDEX(TEMPLATE_DATA_POINT_FHD,B74,MATCH(TEMPLATE_SPHERE,TEMPLATE_SPHERE_LIST_FOR_NOTE,0))</f>
        <v>Потери горячей воды в сетях (процентов)</v>
      </c>
      <c r="K74" s="1156" t="n">
        <f aca="false">INDEX(TEMPLATE_NOTE_POINT_FHD,B74,MATCH(TEMPLATE_SPHERE,TEMPLATE_SPHERE_LIST_FOR_NOTE,0))</f>
        <v>0</v>
      </c>
      <c r="L74" s="1144" t="str">
        <f aca="false">IF(I74=0,"",I74)</f>
        <v>11</v>
      </c>
      <c r="M74" s="1144" t="str">
        <f aca="false">IF(J74=0,"",J74)</f>
        <v>Потери горячей воды в сетях (процентов)</v>
      </c>
      <c r="N74" s="1144" t="str">
        <f aca="false">IF(K74=0,"",K74)</f>
        <v/>
      </c>
      <c r="O74" s="1157"/>
      <c r="P74" s="1157"/>
      <c r="Q74" s="1157" t="s">
        <v>157</v>
      </c>
      <c r="R74" s="1157"/>
      <c r="S74" s="1157"/>
      <c r="T74" s="1141"/>
      <c r="U74" s="1141"/>
      <c r="V74" s="1141" t="s">
        <v>2116</v>
      </c>
      <c r="W74" s="1141"/>
      <c r="X74" s="1141"/>
      <c r="Y74" s="1145"/>
      <c r="Z74" s="1126"/>
      <c r="AA74" s="1133"/>
      <c r="AB74" s="1126"/>
      <c r="AC74" s="1126"/>
      <c r="AD74" s="1126"/>
    </row>
    <row r="75" customFormat="false" ht="18" hidden="false" customHeight="true" outlineLevel="0" collapsed="false">
      <c r="A75" s="1143"/>
      <c r="B75" s="1146" t="n">
        <v>58</v>
      </c>
      <c r="C75" s="1141"/>
      <c r="D75" s="1154"/>
      <c r="E75" s="1141"/>
      <c r="F75" s="1141" t="s">
        <v>2095</v>
      </c>
      <c r="G75" s="1141"/>
      <c r="H75" s="1159"/>
      <c r="I75" s="1156" t="n">
        <f aca="false">INDEX(TEMPLATE_NUMBER_POINT_FHD,B75,MATCH(TEMPLATE_SPHERE,TEMPLATE_SPHERE_LIST_FOR_NOTE,0))</f>
        <v>0</v>
      </c>
      <c r="J75" s="1156" t="n">
        <f aca="false">INDEX(TEMPLATE_DATA_POINT_FHD,B75,MATCH(TEMPLATE_SPHERE,TEMPLATE_SPHERE_LIST_FOR_NOTE,0))</f>
        <v>0</v>
      </c>
      <c r="K75" s="1156" t="n">
        <f aca="false">INDEX(TEMPLATE_NOTE_POINT_FHD,B75,MATCH(TEMPLATE_SPHERE,TEMPLATE_SPHERE_LIST_FOR_NOTE,0))</f>
        <v>0</v>
      </c>
      <c r="L75" s="1144" t="str">
        <f aca="false">IF(I75=0,"",I75)</f>
        <v/>
      </c>
      <c r="M75" s="1144" t="str">
        <f aca="false">IF(J75=0,"",J75)</f>
        <v/>
      </c>
      <c r="N75" s="1144" t="str">
        <f aca="false">IF(K75=0,"",K75)</f>
        <v/>
      </c>
      <c r="O75" s="1157"/>
      <c r="P75" s="1157"/>
      <c r="Q75" s="1157"/>
      <c r="R75" s="1157" t="s">
        <v>89</v>
      </c>
      <c r="S75" s="1157"/>
      <c r="T75" s="1141"/>
      <c r="U75" s="1141"/>
      <c r="V75" s="1141"/>
      <c r="W75" s="1141" t="s">
        <v>2117</v>
      </c>
      <c r="X75" s="1141"/>
      <c r="Y75" s="1145"/>
      <c r="Z75" s="1126"/>
      <c r="AA75" s="1133"/>
      <c r="AB75" s="1126"/>
      <c r="AC75" s="1126"/>
      <c r="AD75" s="1126"/>
    </row>
    <row r="76" customFormat="false" ht="36" hidden="false" customHeight="true" outlineLevel="0" collapsed="false">
      <c r="A76" s="1143"/>
      <c r="B76" s="1146" t="n">
        <v>59</v>
      </c>
      <c r="C76" s="1141"/>
      <c r="D76" s="1154"/>
      <c r="E76" s="1141"/>
      <c r="F76" s="1141" t="s">
        <v>2097</v>
      </c>
      <c r="G76" s="1141"/>
      <c r="H76" s="1159"/>
      <c r="I76" s="1156" t="n">
        <f aca="false">INDEX(TEMPLATE_NUMBER_POINT_FHD,B76,MATCH(TEMPLATE_SPHERE,TEMPLATE_SPHERE_LIST_FOR_NOTE,0))</f>
        <v>0</v>
      </c>
      <c r="J76" s="1156" t="n">
        <f aca="false">INDEX(TEMPLATE_DATA_POINT_FHD,B76,MATCH(TEMPLATE_SPHERE,TEMPLATE_SPHERE_LIST_FOR_NOTE,0))</f>
        <v>0</v>
      </c>
      <c r="K76" s="1156" t="n">
        <f aca="false">INDEX(TEMPLATE_NOTE_POINT_FHD,B76,MATCH(TEMPLATE_SPHERE,TEMPLATE_SPHERE_LIST_FOR_NOTE,0))</f>
        <v>0</v>
      </c>
      <c r="L76" s="1144" t="str">
        <f aca="false">IF(I76=0,"",I76)</f>
        <v/>
      </c>
      <c r="M76" s="1144" t="str">
        <f aca="false">IF(J76=0,"",J76)</f>
        <v/>
      </c>
      <c r="N76" s="1144" t="str">
        <f aca="false">IF(K76=0,"",K76)</f>
        <v/>
      </c>
      <c r="O76" s="1157"/>
      <c r="P76" s="1157"/>
      <c r="Q76" s="1157"/>
      <c r="R76" s="1157" t="s">
        <v>119</v>
      </c>
      <c r="S76" s="1157"/>
      <c r="T76" s="1141"/>
      <c r="U76" s="1141"/>
      <c r="V76" s="1141"/>
      <c r="W76" s="1141" t="s">
        <v>2118</v>
      </c>
      <c r="X76" s="1141"/>
      <c r="Y76" s="1145"/>
      <c r="Z76" s="1126"/>
      <c r="AA76" s="1133"/>
      <c r="AB76" s="1126"/>
      <c r="AC76" s="1126"/>
      <c r="AD76" s="1126"/>
    </row>
    <row r="77" customFormat="false" ht="18" hidden="false" customHeight="true" outlineLevel="0" collapsed="false">
      <c r="A77" s="1143"/>
      <c r="B77" s="1146" t="n">
        <v>60</v>
      </c>
      <c r="C77" s="1141"/>
      <c r="D77" s="1154"/>
      <c r="E77" s="1141"/>
      <c r="F77" s="1141" t="s">
        <v>2099</v>
      </c>
      <c r="G77" s="1141"/>
      <c r="H77" s="1159"/>
      <c r="I77" s="1156" t="n">
        <f aca="false">INDEX(TEMPLATE_NUMBER_POINT_FHD,B77,MATCH(TEMPLATE_SPHERE,TEMPLATE_SPHERE_LIST_FOR_NOTE,0))</f>
        <v>0</v>
      </c>
      <c r="J77" s="1156" t="n">
        <f aca="false">INDEX(TEMPLATE_DATA_POINT_FHD,B77,MATCH(TEMPLATE_SPHERE,TEMPLATE_SPHERE_LIST_FOR_NOTE,0))</f>
        <v>0</v>
      </c>
      <c r="K77" s="1156" t="n">
        <f aca="false">INDEX(TEMPLATE_NOTE_POINT_FHD,B77,MATCH(TEMPLATE_SPHERE,TEMPLATE_SPHERE_LIST_FOR_NOTE,0))</f>
        <v>0</v>
      </c>
      <c r="L77" s="1144" t="str">
        <f aca="false">IF(I77=0,"",I77)</f>
        <v/>
      </c>
      <c r="M77" s="1144" t="str">
        <f aca="false">IF(J77=0,"",J77)</f>
        <v/>
      </c>
      <c r="N77" s="1144" t="str">
        <f aca="false">IF(K77=0,"",K77)</f>
        <v/>
      </c>
      <c r="O77" s="1157"/>
      <c r="P77" s="1157"/>
      <c r="Q77" s="1157"/>
      <c r="R77" s="1157" t="s">
        <v>155</v>
      </c>
      <c r="S77" s="1157"/>
      <c r="T77" s="1141"/>
      <c r="U77" s="1141"/>
      <c r="V77" s="1141"/>
      <c r="W77" s="1141" t="s">
        <v>2119</v>
      </c>
      <c r="X77" s="1141"/>
      <c r="Y77" s="1145"/>
      <c r="Z77" s="1126"/>
      <c r="AA77" s="1133"/>
      <c r="AB77" s="1126"/>
      <c r="AC77" s="1126"/>
      <c r="AD77" s="1126"/>
    </row>
    <row r="78" customFormat="false" ht="72" hidden="false" customHeight="true" outlineLevel="0" collapsed="false">
      <c r="A78" s="1143"/>
      <c r="B78" s="1146" t="n">
        <v>61</v>
      </c>
      <c r="C78" s="1141" t="s">
        <v>2095</v>
      </c>
      <c r="D78" s="1154"/>
      <c r="E78" s="1141"/>
      <c r="F78" s="1141"/>
      <c r="G78" s="1141"/>
      <c r="H78" s="1159"/>
      <c r="I78" s="1156" t="n">
        <f aca="false">INDEX(TEMPLATE_NUMBER_POINT_FHD,B78,MATCH(TEMPLATE_SPHERE,TEMPLATE_SPHERE_LIST_FOR_NOTE,0))</f>
        <v>0</v>
      </c>
      <c r="J78" s="1156" t="n">
        <f aca="false">INDEX(TEMPLATE_DATA_POINT_FHD,B78,MATCH(TEMPLATE_SPHERE,TEMPLATE_SPHERE_LIST_FOR_NOTE,0))</f>
        <v>0</v>
      </c>
      <c r="K78" s="1156" t="n">
        <f aca="false">INDEX(TEMPLATE_NOTE_POINT_FHD,B78,MATCH(TEMPLATE_SPHERE,TEMPLATE_SPHERE_LIST_FOR_NOTE,0))</f>
        <v>0</v>
      </c>
      <c r="L78" s="1144" t="str">
        <f aca="false">IF(I78=0,"",I78)</f>
        <v/>
      </c>
      <c r="M78" s="1144" t="str">
        <f aca="false">IF(J78=0,"",J78)</f>
        <v/>
      </c>
      <c r="N78" s="1144" t="str">
        <f aca="false">IF(K78=0,"",K78)</f>
        <v/>
      </c>
      <c r="O78" s="1157" t="s">
        <v>89</v>
      </c>
      <c r="P78" s="1157"/>
      <c r="Q78" s="1157"/>
      <c r="R78" s="1157"/>
      <c r="S78" s="1157"/>
      <c r="T78" s="1141" t="s">
        <v>2120</v>
      </c>
      <c r="U78" s="1141"/>
      <c r="V78" s="1141"/>
      <c r="W78" s="1141"/>
      <c r="X78" s="1141"/>
      <c r="Y78" s="1145"/>
      <c r="Z78" s="1126" t="s">
        <v>2121</v>
      </c>
      <c r="AA78" s="1133"/>
      <c r="AB78" s="1126"/>
      <c r="AC78" s="1126"/>
      <c r="AD78" s="1126"/>
    </row>
    <row r="79" customFormat="false" ht="36" hidden="false" customHeight="true" outlineLevel="0" collapsed="false">
      <c r="A79" s="1143"/>
      <c r="B79" s="1146" t="n">
        <v>62</v>
      </c>
      <c r="C79" s="1141" t="s">
        <v>2097</v>
      </c>
      <c r="D79" s="1154"/>
      <c r="E79" s="1141"/>
      <c r="F79" s="1141"/>
      <c r="G79" s="1141"/>
      <c r="H79" s="1159"/>
      <c r="I79" s="1156" t="n">
        <f aca="false">INDEX(TEMPLATE_NUMBER_POINT_FHD,B79,MATCH(TEMPLATE_SPHERE,TEMPLATE_SPHERE_LIST_FOR_NOTE,0))</f>
        <v>0</v>
      </c>
      <c r="J79" s="1156" t="n">
        <f aca="false">INDEX(TEMPLATE_DATA_POINT_FHD,B79,MATCH(TEMPLATE_SPHERE,TEMPLATE_SPHERE_LIST_FOR_NOTE,0))</f>
        <v>0</v>
      </c>
      <c r="K79" s="1156" t="n">
        <f aca="false">INDEX(TEMPLATE_NOTE_POINT_FHD,B79,MATCH(TEMPLATE_SPHERE,TEMPLATE_SPHERE_LIST_FOR_NOTE,0))</f>
        <v>0</v>
      </c>
      <c r="L79" s="1144" t="str">
        <f aca="false">IF(I79=0,"",I79)</f>
        <v/>
      </c>
      <c r="M79" s="1144" t="str">
        <f aca="false">IF(J79=0,"",J79)</f>
        <v/>
      </c>
      <c r="N79" s="1144" t="str">
        <f aca="false">IF(K79=0,"",K79)</f>
        <v/>
      </c>
      <c r="O79" s="1157" t="s">
        <v>119</v>
      </c>
      <c r="P79" s="1157"/>
      <c r="Q79" s="1157"/>
      <c r="R79" s="1157"/>
      <c r="S79" s="1157"/>
      <c r="T79" s="1141" t="s">
        <v>2122</v>
      </c>
      <c r="U79" s="1141"/>
      <c r="V79" s="1141"/>
      <c r="W79" s="1141"/>
      <c r="X79" s="1141"/>
      <c r="Y79" s="1145"/>
      <c r="Z79" s="1126" t="s">
        <v>2123</v>
      </c>
      <c r="AA79" s="1133"/>
      <c r="AB79" s="1126"/>
      <c r="AC79" s="1126"/>
      <c r="AD79" s="1126"/>
    </row>
    <row r="80" customFormat="false" ht="45" hidden="false" customHeight="true" outlineLevel="0" collapsed="false">
      <c r="A80" s="1143"/>
      <c r="B80" s="1146" t="n">
        <v>63</v>
      </c>
      <c r="C80" s="1141" t="s">
        <v>2099</v>
      </c>
      <c r="D80" s="1154"/>
      <c r="E80" s="1141"/>
      <c r="F80" s="1141"/>
      <c r="G80" s="1141"/>
      <c r="H80" s="1159"/>
      <c r="I80" s="1156" t="n">
        <f aca="false">INDEX(TEMPLATE_NUMBER_POINT_FHD,B80,MATCH(TEMPLATE_SPHERE,TEMPLATE_SPHERE_LIST_FOR_NOTE,0))</f>
        <v>0</v>
      </c>
      <c r="J80" s="1156" t="n">
        <f aca="false">INDEX(TEMPLATE_DATA_POINT_FHD,B80,MATCH(TEMPLATE_SPHERE,TEMPLATE_SPHERE_LIST_FOR_NOTE,0))</f>
        <v>0</v>
      </c>
      <c r="K80" s="1156" t="n">
        <f aca="false">INDEX(TEMPLATE_NOTE_POINT_FHD,B80,MATCH(TEMPLATE_SPHERE,TEMPLATE_SPHERE_LIST_FOR_NOTE,0))</f>
        <v>0</v>
      </c>
      <c r="L80" s="1144" t="str">
        <f aca="false">IF(I80=0,"",I80)</f>
        <v/>
      </c>
      <c r="M80" s="1144" t="str">
        <f aca="false">IF(J80=0,"",J80)</f>
        <v/>
      </c>
      <c r="N80" s="1144" t="str">
        <f aca="false">IF(K80=0,"",K80)</f>
        <v/>
      </c>
      <c r="O80" s="1157" t="s">
        <v>155</v>
      </c>
      <c r="P80" s="1157"/>
      <c r="Q80" s="1157"/>
      <c r="R80" s="1157"/>
      <c r="S80" s="1157"/>
      <c r="T80" s="1141" t="s">
        <v>2124</v>
      </c>
      <c r="U80" s="1141"/>
      <c r="V80" s="1141"/>
      <c r="W80" s="1141"/>
      <c r="X80" s="1141"/>
      <c r="Y80" s="1145"/>
      <c r="Z80" s="1126" t="s">
        <v>2125</v>
      </c>
      <c r="AA80" s="1133"/>
      <c r="AB80" s="1126"/>
      <c r="AC80" s="1126"/>
      <c r="AD80" s="1126"/>
    </row>
    <row r="81" customFormat="false" ht="36" hidden="false" customHeight="true" outlineLevel="0" collapsed="false">
      <c r="A81" s="1143"/>
      <c r="B81" s="1146" t="n">
        <v>64</v>
      </c>
      <c r="C81" s="1141" t="s">
        <v>2101</v>
      </c>
      <c r="D81" s="1154"/>
      <c r="E81" s="1141"/>
      <c r="F81" s="1141"/>
      <c r="G81" s="1141"/>
      <c r="H81" s="1159"/>
      <c r="I81" s="1156" t="n">
        <f aca="false">INDEX(TEMPLATE_NUMBER_POINT_FHD,B81,MATCH(TEMPLATE_SPHERE,TEMPLATE_SPHERE_LIST_FOR_NOTE,0))</f>
        <v>0</v>
      </c>
      <c r="J81" s="1156" t="n">
        <f aca="false">INDEX(TEMPLATE_DATA_POINT_FHD,B81,MATCH(TEMPLATE_SPHERE,TEMPLATE_SPHERE_LIST_FOR_NOTE,0))</f>
        <v>0</v>
      </c>
      <c r="K81" s="1156" t="n">
        <f aca="false">INDEX(TEMPLATE_NOTE_POINT_FHD,B81,MATCH(TEMPLATE_SPHERE,TEMPLATE_SPHERE_LIST_FOR_NOTE,0))</f>
        <v>0</v>
      </c>
      <c r="L81" s="1144" t="str">
        <f aca="false">IF(I81=0,"",I81)</f>
        <v/>
      </c>
      <c r="M81" s="1144" t="str">
        <f aca="false">IF(J81=0,"",J81)</f>
        <v/>
      </c>
      <c r="N81" s="1144" t="str">
        <f aca="false">IF(K81=0,"",K81)</f>
        <v/>
      </c>
      <c r="O81" s="1157" t="s">
        <v>2004</v>
      </c>
      <c r="P81" s="1157"/>
      <c r="Q81" s="1157"/>
      <c r="R81" s="1157"/>
      <c r="S81" s="1157"/>
      <c r="T81" s="1141" t="s">
        <v>2126</v>
      </c>
      <c r="U81" s="1141"/>
      <c r="V81" s="1141"/>
      <c r="W81" s="1141"/>
      <c r="X81" s="1141"/>
      <c r="Y81" s="1145"/>
      <c r="Z81" s="1126" t="s">
        <v>2127</v>
      </c>
      <c r="AA81" s="1133"/>
      <c r="AB81" s="1126"/>
      <c r="AC81" s="1126"/>
      <c r="AD81" s="1126"/>
    </row>
    <row r="82" customFormat="false" ht="90" hidden="false" customHeight="true" outlineLevel="0" collapsed="false">
      <c r="A82" s="1143"/>
      <c r="B82" s="1146" t="n">
        <v>65</v>
      </c>
      <c r="C82" s="1141" t="s">
        <v>2110</v>
      </c>
      <c r="D82" s="1154"/>
      <c r="E82" s="1141"/>
      <c r="F82" s="1141"/>
      <c r="G82" s="1141"/>
      <c r="H82" s="1159"/>
      <c r="I82" s="1156" t="n">
        <f aca="false">INDEX(TEMPLATE_NUMBER_POINT_FHD,B82,MATCH(TEMPLATE_SPHERE,TEMPLATE_SPHERE_LIST_FOR_NOTE,0))</f>
        <v>0</v>
      </c>
      <c r="J82" s="1156" t="n">
        <f aca="false">INDEX(TEMPLATE_DATA_POINT_FHD,B82,MATCH(TEMPLATE_SPHERE,TEMPLATE_SPHERE_LIST_FOR_NOTE,0))</f>
        <v>0</v>
      </c>
      <c r="K82" s="1156" t="n">
        <f aca="false">INDEX(TEMPLATE_NOTE_POINT_FHD,B82,MATCH(TEMPLATE_SPHERE,TEMPLATE_SPHERE_LIST_FOR_NOTE,0))</f>
        <v>0</v>
      </c>
      <c r="L82" s="1144" t="str">
        <f aca="false">IF(I82=0,"",I82)</f>
        <v/>
      </c>
      <c r="M82" s="1144" t="str">
        <f aca="false">IF(J82=0,"",J82)</f>
        <v/>
      </c>
      <c r="N82" s="1144" t="str">
        <f aca="false">IF(K82=0,"",K82)</f>
        <v/>
      </c>
      <c r="O82" s="1157" t="s">
        <v>156</v>
      </c>
      <c r="P82" s="1157"/>
      <c r="Q82" s="1157"/>
      <c r="R82" s="1157"/>
      <c r="S82" s="1157"/>
      <c r="T82" s="1141" t="s">
        <v>2128</v>
      </c>
      <c r="U82" s="1141"/>
      <c r="V82" s="1141"/>
      <c r="W82" s="1141"/>
      <c r="X82" s="1141"/>
      <c r="Y82" s="1145"/>
      <c r="Z82" s="1126" t="s">
        <v>2129</v>
      </c>
      <c r="AA82" s="1133"/>
      <c r="AB82" s="1126"/>
      <c r="AC82" s="1126"/>
      <c r="AD82" s="1126"/>
    </row>
    <row r="83" customFormat="false" ht="9" hidden="false" customHeight="true" outlineLevel="0" collapsed="false">
      <c r="A83" s="1143"/>
      <c r="B83" s="1146" t="n">
        <v>66</v>
      </c>
      <c r="C83" s="1141"/>
      <c r="D83" s="1154"/>
      <c r="E83" s="1141"/>
      <c r="F83" s="1141"/>
      <c r="G83" s="1141"/>
      <c r="H83" s="1159"/>
      <c r="I83" s="1156" t="n">
        <f aca="false">INDEX(TEMPLATE_NUMBER_POINT_FHD,B83,MATCH(TEMPLATE_SPHERE,TEMPLATE_SPHERE_LIST_FOR_NOTE,0))</f>
        <v>0</v>
      </c>
      <c r="J83" s="1156" t="n">
        <f aca="false">INDEX(TEMPLATE_DATA_POINT_FHD,B83,MATCH(TEMPLATE_SPHERE,TEMPLATE_SPHERE_LIST_FOR_NOTE,0))</f>
        <v>0</v>
      </c>
      <c r="K83" s="1156" t="n">
        <f aca="false">INDEX(TEMPLATE_NOTE_POINT_FHD,B83,MATCH(TEMPLATE_SPHERE,TEMPLATE_SPHERE_LIST_FOR_NOTE,0))</f>
        <v>0</v>
      </c>
      <c r="L83" s="1144" t="str">
        <f aca="false">IF(I83=0,"",I83)</f>
        <v/>
      </c>
      <c r="M83" s="1144" t="str">
        <f aca="false">IF(J83=0,"",J83)</f>
        <v/>
      </c>
      <c r="N83" s="1144" t="str">
        <f aca="false">IF(K83=0,"",K83)</f>
        <v/>
      </c>
      <c r="O83" s="1157" t="s">
        <v>2013</v>
      </c>
      <c r="P83" s="1157"/>
      <c r="Q83" s="1157"/>
      <c r="R83" s="1157"/>
      <c r="S83" s="1157"/>
      <c r="T83" s="1141" t="s">
        <v>2130</v>
      </c>
      <c r="U83" s="1141"/>
      <c r="V83" s="1141"/>
      <c r="W83" s="1141"/>
      <c r="X83" s="1141"/>
      <c r="Y83" s="1145"/>
      <c r="Z83" s="1126"/>
      <c r="AA83" s="1133"/>
      <c r="AB83" s="1126"/>
      <c r="AC83" s="1126"/>
      <c r="AD83" s="1126"/>
    </row>
    <row r="84" customFormat="false" ht="54" hidden="false" customHeight="true" outlineLevel="0" collapsed="false">
      <c r="A84" s="1143"/>
      <c r="B84" s="1146" t="n">
        <v>67</v>
      </c>
      <c r="C84" s="1141"/>
      <c r="D84" s="1154"/>
      <c r="E84" s="1141"/>
      <c r="F84" s="1141"/>
      <c r="G84" s="1141"/>
      <c r="H84" s="1159"/>
      <c r="I84" s="1156" t="n">
        <f aca="false">INDEX(TEMPLATE_NUMBER_POINT_FHD,B84,MATCH(TEMPLATE_SPHERE,TEMPLATE_SPHERE_LIST_FOR_NOTE,0))</f>
        <v>0</v>
      </c>
      <c r="J84" s="1156" t="n">
        <f aca="false">INDEX(TEMPLATE_DATA_POINT_FHD,B84,MATCH(TEMPLATE_SPHERE,TEMPLATE_SPHERE_LIST_FOR_NOTE,0))</f>
        <v>0</v>
      </c>
      <c r="K84" s="1156" t="n">
        <f aca="false">INDEX(TEMPLATE_NOTE_POINT_FHD,B84,MATCH(TEMPLATE_SPHERE,TEMPLATE_SPHERE_LIST_FOR_NOTE,0))</f>
        <v>0</v>
      </c>
      <c r="L84" s="1144" t="str">
        <f aca="false">IF(I84=0,"",I84)</f>
        <v/>
      </c>
      <c r="M84" s="1144" t="str">
        <f aca="false">IF(J84=0,"",J84)</f>
        <v/>
      </c>
      <c r="N84" s="1144" t="str">
        <f aca="false">IF(K84=0,"",K84)</f>
        <v/>
      </c>
      <c r="O84" s="1157" t="s">
        <v>2131</v>
      </c>
      <c r="P84" s="1157"/>
      <c r="Q84" s="1157"/>
      <c r="R84" s="1157"/>
      <c r="S84" s="1157"/>
      <c r="T84" s="1141" t="s">
        <v>2132</v>
      </c>
      <c r="U84" s="1141"/>
      <c r="V84" s="1141"/>
      <c r="W84" s="1141"/>
      <c r="X84" s="1141"/>
      <c r="Y84" s="1145"/>
      <c r="Z84" s="1126"/>
      <c r="AA84" s="1133"/>
      <c r="AB84" s="1126"/>
      <c r="AC84" s="1126"/>
      <c r="AD84" s="1126"/>
    </row>
    <row r="85" customFormat="false" ht="9" hidden="false" customHeight="true" outlineLevel="0" collapsed="false">
      <c r="A85" s="1143"/>
      <c r="B85" s="1146" t="n">
        <v>68</v>
      </c>
      <c r="C85" s="1141"/>
      <c r="D85" s="1154"/>
      <c r="E85" s="1141"/>
      <c r="F85" s="1141"/>
      <c r="G85" s="1141"/>
      <c r="H85" s="1159"/>
      <c r="I85" s="1156" t="n">
        <f aca="false">INDEX(TEMPLATE_NUMBER_POINT_FHD,B85,MATCH(TEMPLATE_SPHERE,TEMPLATE_SPHERE_LIST_FOR_NOTE,0))</f>
        <v>0</v>
      </c>
      <c r="J85" s="1156" t="n">
        <f aca="false">INDEX(TEMPLATE_DATA_POINT_FHD,B85,MATCH(TEMPLATE_SPHERE,TEMPLATE_SPHERE_LIST_FOR_NOTE,0))</f>
        <v>0</v>
      </c>
      <c r="K85" s="1156" t="n">
        <f aca="false">INDEX(TEMPLATE_NOTE_POINT_FHD,B85,MATCH(TEMPLATE_SPHERE,TEMPLATE_SPHERE_LIST_FOR_NOTE,0))</f>
        <v>0</v>
      </c>
      <c r="L85" s="1144" t="str">
        <f aca="false">IF(I85=0,"",I85)</f>
        <v/>
      </c>
      <c r="M85" s="1144" t="str">
        <f aca="false">IF(J85=0,"",J85)</f>
        <v/>
      </c>
      <c r="N85" s="1144" t="str">
        <f aca="false">IF(K85=0,"",K85)</f>
        <v/>
      </c>
      <c r="O85" s="1157" t="s">
        <v>2017</v>
      </c>
      <c r="P85" s="1157"/>
      <c r="Q85" s="1157"/>
      <c r="R85" s="1157"/>
      <c r="S85" s="1157"/>
      <c r="T85" s="1141" t="s">
        <v>2133</v>
      </c>
      <c r="U85" s="1141"/>
      <c r="V85" s="1141"/>
      <c r="W85" s="1141"/>
      <c r="X85" s="1141"/>
      <c r="Y85" s="1145"/>
      <c r="Z85" s="1126"/>
      <c r="AA85" s="1133"/>
      <c r="AB85" s="1126"/>
      <c r="AC85" s="1126"/>
      <c r="AD85" s="1126"/>
    </row>
    <row r="86" customFormat="false" ht="27" hidden="false" customHeight="true" outlineLevel="0" collapsed="false">
      <c r="A86" s="1143"/>
      <c r="B86" s="1146" t="n">
        <v>69</v>
      </c>
      <c r="C86" s="1141"/>
      <c r="D86" s="1154"/>
      <c r="E86" s="1141"/>
      <c r="F86" s="1141"/>
      <c r="G86" s="1141"/>
      <c r="H86" s="1159"/>
      <c r="I86" s="1156" t="n">
        <f aca="false">INDEX(TEMPLATE_NUMBER_POINT_FHD,B86,MATCH(TEMPLATE_SPHERE,TEMPLATE_SPHERE_LIST_FOR_NOTE,0))</f>
        <v>0</v>
      </c>
      <c r="J86" s="1156" t="n">
        <f aca="false">INDEX(TEMPLATE_DATA_POINT_FHD,B86,MATCH(TEMPLATE_SPHERE,TEMPLATE_SPHERE_LIST_FOR_NOTE,0))</f>
        <v>0</v>
      </c>
      <c r="K86" s="1156" t="n">
        <f aca="false">INDEX(TEMPLATE_NOTE_POINT_FHD,B86,MATCH(TEMPLATE_SPHERE,TEMPLATE_SPHERE_LIST_FOR_NOTE,0))</f>
        <v>0</v>
      </c>
      <c r="L86" s="1144" t="str">
        <f aca="false">IF(I86=0,"",I86)</f>
        <v/>
      </c>
      <c r="M86" s="1144" t="str">
        <f aca="false">IF(J86=0,"",J86)</f>
        <v/>
      </c>
      <c r="N86" s="1144" t="str">
        <f aca="false">IF(K86=0,"",K86)</f>
        <v/>
      </c>
      <c r="O86" s="1157" t="s">
        <v>2134</v>
      </c>
      <c r="P86" s="1157"/>
      <c r="Q86" s="1157"/>
      <c r="R86" s="1157"/>
      <c r="S86" s="1157"/>
      <c r="T86" s="1141" t="s">
        <v>2135</v>
      </c>
      <c r="U86" s="1141"/>
      <c r="V86" s="1141"/>
      <c r="W86" s="1141"/>
      <c r="X86" s="1141"/>
      <c r="Y86" s="1145"/>
      <c r="Z86" s="1126"/>
      <c r="AA86" s="1133"/>
      <c r="AB86" s="1126"/>
      <c r="AC86" s="1126"/>
      <c r="AD86" s="1126"/>
    </row>
    <row r="87" customFormat="false" ht="36" hidden="false" customHeight="true" outlineLevel="0" collapsed="false">
      <c r="A87" s="1143"/>
      <c r="B87" s="1146" t="n">
        <v>70</v>
      </c>
      <c r="C87" s="1141" t="s">
        <v>2136</v>
      </c>
      <c r="D87" s="1154"/>
      <c r="E87" s="1141"/>
      <c r="F87" s="1141"/>
      <c r="G87" s="1141"/>
      <c r="H87" s="1159"/>
      <c r="I87" s="1156" t="n">
        <f aca="false">INDEX(TEMPLATE_NUMBER_POINT_FHD,B87,MATCH(TEMPLATE_SPHERE,TEMPLATE_SPHERE_LIST_FOR_NOTE,0))</f>
        <v>0</v>
      </c>
      <c r="J87" s="1156" t="n">
        <f aca="false">INDEX(TEMPLATE_DATA_POINT_FHD,B87,MATCH(TEMPLATE_SPHERE,TEMPLATE_SPHERE_LIST_FOR_NOTE,0))</f>
        <v>0</v>
      </c>
      <c r="K87" s="1156" t="n">
        <f aca="false">INDEX(TEMPLATE_NOTE_POINT_FHD,B87,MATCH(TEMPLATE_SPHERE,TEMPLATE_SPHERE_LIST_FOR_NOTE,0))</f>
        <v>0</v>
      </c>
      <c r="L87" s="1144" t="str">
        <f aca="false">IF(I87=0,"",I87)</f>
        <v/>
      </c>
      <c r="M87" s="1144" t="str">
        <f aca="false">IF(J87=0,"",J87)</f>
        <v/>
      </c>
      <c r="N87" s="1144" t="str">
        <f aca="false">IF(K87=0,"",K87)</f>
        <v/>
      </c>
      <c r="O87" s="1157" t="s">
        <v>157</v>
      </c>
      <c r="P87" s="1157"/>
      <c r="Q87" s="1157"/>
      <c r="R87" s="1157"/>
      <c r="S87" s="1157"/>
      <c r="T87" s="1141" t="s">
        <v>2137</v>
      </c>
      <c r="U87" s="1141"/>
      <c r="V87" s="1141"/>
      <c r="W87" s="1141"/>
      <c r="X87" s="1141"/>
      <c r="Y87" s="1145"/>
      <c r="Z87" s="1126"/>
      <c r="AA87" s="1133"/>
      <c r="AB87" s="1126"/>
      <c r="AC87" s="1126"/>
      <c r="AD87" s="1126"/>
    </row>
    <row r="88" customFormat="false" ht="18" hidden="false" customHeight="true" outlineLevel="0" collapsed="false">
      <c r="A88" s="1143"/>
      <c r="B88" s="1146" t="n">
        <v>71</v>
      </c>
      <c r="C88" s="1141" t="s">
        <v>2138</v>
      </c>
      <c r="D88" s="1154"/>
      <c r="E88" s="1141"/>
      <c r="F88" s="1141"/>
      <c r="G88" s="1141"/>
      <c r="H88" s="1159"/>
      <c r="I88" s="1156" t="n">
        <f aca="false">INDEX(TEMPLATE_NUMBER_POINT_FHD,B88,MATCH(TEMPLATE_SPHERE,TEMPLATE_SPHERE_LIST_FOR_NOTE,0))</f>
        <v>0</v>
      </c>
      <c r="J88" s="1156" t="n">
        <f aca="false">INDEX(TEMPLATE_DATA_POINT_FHD,B88,MATCH(TEMPLATE_SPHERE,TEMPLATE_SPHERE_LIST_FOR_NOTE,0))</f>
        <v>0</v>
      </c>
      <c r="K88" s="1156" t="n">
        <f aca="false">INDEX(TEMPLATE_NOTE_POINT_FHD,B88,MATCH(TEMPLATE_SPHERE,TEMPLATE_SPHERE_LIST_FOR_NOTE,0))</f>
        <v>0</v>
      </c>
      <c r="L88" s="1144" t="str">
        <f aca="false">IF(I88=0,"",I88)</f>
        <v/>
      </c>
      <c r="M88" s="1144" t="str">
        <f aca="false">IF(J88=0,"",J88)</f>
        <v/>
      </c>
      <c r="N88" s="1144" t="str">
        <f aca="false">IF(K88=0,"",K88)</f>
        <v/>
      </c>
      <c r="O88" s="1157" t="s">
        <v>158</v>
      </c>
      <c r="P88" s="1157"/>
      <c r="Q88" s="1157"/>
      <c r="R88" s="1157"/>
      <c r="S88" s="1157"/>
      <c r="T88" s="1141" t="s">
        <v>2139</v>
      </c>
      <c r="U88" s="1141"/>
      <c r="V88" s="1141"/>
      <c r="W88" s="1141"/>
      <c r="X88" s="1141"/>
      <c r="Y88" s="1145"/>
      <c r="Z88" s="1126"/>
      <c r="AA88" s="1133"/>
      <c r="AB88" s="1126"/>
      <c r="AC88" s="1126"/>
      <c r="AD88" s="1126"/>
    </row>
    <row r="89" customFormat="false" ht="18" hidden="false" customHeight="true" outlineLevel="0" collapsed="false">
      <c r="A89" s="1143"/>
      <c r="B89" s="1146" t="n">
        <v>72</v>
      </c>
      <c r="C89" s="1141" t="s">
        <v>2140</v>
      </c>
      <c r="D89" s="1154" t="s">
        <v>2136</v>
      </c>
      <c r="E89" s="1141" t="s">
        <v>2136</v>
      </c>
      <c r="F89" s="1141" t="s">
        <v>2101</v>
      </c>
      <c r="G89" s="1141"/>
      <c r="H89" s="1159"/>
      <c r="I89" s="1156" t="str">
        <f aca="false">INDEX(TEMPLATE_NUMBER_POINT_FHD,B89,MATCH(TEMPLATE_SPHERE,TEMPLATE_SPHERE_LIST_FOR_NOTE,0))</f>
        <v>12</v>
      </c>
      <c r="J89" s="1156" t="str">
        <f aca="false">INDEX(TEMPLATE_DATA_POINT_FHD,B89,MATCH(TEMPLATE_SPHERE,TEMPLATE_SPHERE_LIST_FOR_NOTE,0))</f>
        <v>Среднесписочная численность основного производственного персонала</v>
      </c>
      <c r="K89" s="1156" t="n">
        <f aca="false">INDEX(TEMPLATE_NOTE_POINT_FHD,B89,MATCH(TEMPLATE_SPHERE,TEMPLATE_SPHERE_LIST_FOR_NOTE,0))</f>
        <v>0</v>
      </c>
      <c r="L89" s="1144" t="str">
        <f aca="false">IF(I89=0,"",I89)</f>
        <v>12</v>
      </c>
      <c r="M89" s="1144" t="str">
        <f aca="false">IF(J89=0,"",J89)</f>
        <v>Среднесписочная численность основного производственного персонала</v>
      </c>
      <c r="N89" s="1144" t="str">
        <f aca="false">IF(K89=0,"",K89)</f>
        <v/>
      </c>
      <c r="O89" s="1157" t="s">
        <v>159</v>
      </c>
      <c r="P89" s="1157" t="s">
        <v>158</v>
      </c>
      <c r="Q89" s="1157" t="s">
        <v>158</v>
      </c>
      <c r="R89" s="1157" t="s">
        <v>156</v>
      </c>
      <c r="S89" s="1157"/>
      <c r="T89" s="1141" t="s">
        <v>2141</v>
      </c>
      <c r="U89" s="1141" t="s">
        <v>2141</v>
      </c>
      <c r="V89" s="1141" t="s">
        <v>2141</v>
      </c>
      <c r="W89" s="1141" t="s">
        <v>2141</v>
      </c>
      <c r="X89" s="1141"/>
      <c r="Y89" s="1145"/>
      <c r="Z89" s="1126"/>
      <c r="AA89" s="1133"/>
      <c r="AB89" s="1126"/>
      <c r="AC89" s="1126"/>
      <c r="AD89" s="1126"/>
    </row>
    <row r="90" customFormat="false" ht="27" hidden="false" customHeight="true" outlineLevel="0" collapsed="false">
      <c r="A90" s="1143"/>
      <c r="B90" s="1146" t="n">
        <v>73</v>
      </c>
      <c r="C90" s="1141" t="s">
        <v>2142</v>
      </c>
      <c r="D90" s="1154"/>
      <c r="E90" s="1141"/>
      <c r="F90" s="1141"/>
      <c r="G90" s="1141"/>
      <c r="H90" s="1159"/>
      <c r="I90" s="1156" t="n">
        <f aca="false">INDEX(TEMPLATE_NUMBER_POINT_FHD,B90,MATCH(TEMPLATE_SPHERE,TEMPLATE_SPHERE_LIST_FOR_NOTE,0))</f>
        <v>0</v>
      </c>
      <c r="J90" s="1156" t="n">
        <f aca="false">INDEX(TEMPLATE_DATA_POINT_FHD,B90,MATCH(TEMPLATE_SPHERE,TEMPLATE_SPHERE_LIST_FOR_NOTE,0))</f>
        <v>0</v>
      </c>
      <c r="K90" s="1156" t="n">
        <f aca="false">INDEX(TEMPLATE_NOTE_POINT_FHD,B90,MATCH(TEMPLATE_SPHERE,TEMPLATE_SPHERE_LIST_FOR_NOTE,0))</f>
        <v>0</v>
      </c>
      <c r="L90" s="1144" t="str">
        <f aca="false">IF(I90=0,"",I90)</f>
        <v/>
      </c>
      <c r="M90" s="1144" t="str">
        <f aca="false">IF(J90=0,"",J90)</f>
        <v/>
      </c>
      <c r="N90" s="1144" t="str">
        <f aca="false">IF(K90=0,"",K90)</f>
        <v/>
      </c>
      <c r="O90" s="1157" t="s">
        <v>160</v>
      </c>
      <c r="P90" s="1157"/>
      <c r="Q90" s="1157"/>
      <c r="R90" s="1157"/>
      <c r="S90" s="1157"/>
      <c r="T90" s="1141" t="s">
        <v>2143</v>
      </c>
      <c r="U90" s="1141"/>
      <c r="V90" s="1141"/>
      <c r="W90" s="1141"/>
      <c r="X90" s="1141"/>
      <c r="Y90" s="1145"/>
      <c r="Z90" s="1126"/>
      <c r="AA90" s="1133"/>
      <c r="AB90" s="1126"/>
      <c r="AC90" s="1126"/>
      <c r="AD90" s="1126"/>
    </row>
    <row r="91" customFormat="false" ht="18" hidden="false" customHeight="true" outlineLevel="0" collapsed="false">
      <c r="A91" s="1143"/>
      <c r="B91" s="1146" t="n">
        <v>74</v>
      </c>
      <c r="C91" s="1141"/>
      <c r="D91" s="1154" t="s">
        <v>2138</v>
      </c>
      <c r="E91" s="1141" t="s">
        <v>2138</v>
      </c>
      <c r="F91" s="1141"/>
      <c r="G91" s="1141"/>
      <c r="H91" s="1159"/>
      <c r="I91" s="1156" t="str">
        <f aca="false">INDEX(TEMPLATE_NUMBER_POINT_FHD,B91,MATCH(TEMPLATE_SPHERE,TEMPLATE_SPHERE_LIST_FOR_NOTE,0))</f>
        <v>13</v>
      </c>
      <c r="J91" s="1156" t="str">
        <f aca="false">INDEX(TEMPLATE_DATA_POINT_FHD,B91,MATCH(TEMPLATE_SPHERE,TEMPLATE_SPHERE_LIST_FOR_NOTE,0))</f>
        <v>Удельный расход электрической энергии на подачу воды в сеть</v>
      </c>
      <c r="K91" s="1156" t="n">
        <f aca="false">INDEX(TEMPLATE_NOTE_POINT_FHD,B91,MATCH(TEMPLATE_SPHERE,TEMPLATE_SPHERE_LIST_FOR_NOTE,0))</f>
        <v>0</v>
      </c>
      <c r="L91" s="1144" t="str">
        <f aca="false">IF(I91=0,"",I91)</f>
        <v>13</v>
      </c>
      <c r="M91" s="1144" t="str">
        <f aca="false">IF(J91=0,"",J91)</f>
        <v>Удельный расход электрической энергии на подачу воды в сеть</v>
      </c>
      <c r="N91" s="1144" t="str">
        <f aca="false">IF(K91=0,"",K91)</f>
        <v/>
      </c>
      <c r="O91" s="1157"/>
      <c r="P91" s="1157" t="s">
        <v>159</v>
      </c>
      <c r="Q91" s="1157" t="s">
        <v>159</v>
      </c>
      <c r="R91" s="1157"/>
      <c r="S91" s="1157"/>
      <c r="T91" s="1141"/>
      <c r="U91" s="1141" t="s">
        <v>2144</v>
      </c>
      <c r="V91" s="1141" t="s">
        <v>2144</v>
      </c>
      <c r="W91" s="1141"/>
      <c r="X91" s="1141"/>
      <c r="Y91" s="1145"/>
      <c r="Z91" s="1126"/>
      <c r="AA91" s="1133"/>
      <c r="AB91" s="1126"/>
      <c r="AC91" s="1126"/>
      <c r="AD91" s="1126"/>
    </row>
    <row r="92" customFormat="false" ht="27" hidden="false" customHeight="true" outlineLevel="0" collapsed="false">
      <c r="A92" s="1143"/>
      <c r="B92" s="1146" t="n">
        <v>75</v>
      </c>
      <c r="C92" s="1141"/>
      <c r="D92" s="1154" t="s">
        <v>2140</v>
      </c>
      <c r="E92" s="1141"/>
      <c r="F92" s="1141"/>
      <c r="G92" s="1141"/>
      <c r="H92" s="1159"/>
      <c r="I92" s="1156" t="n">
        <f aca="false">INDEX(TEMPLATE_NUMBER_POINT_FHD,B92,MATCH(TEMPLATE_SPHERE,TEMPLATE_SPHERE_LIST_FOR_NOTE,0))</f>
        <v>0</v>
      </c>
      <c r="J92" s="1156" t="n">
        <f aca="false">INDEX(TEMPLATE_DATA_POINT_FHD,B92,MATCH(TEMPLATE_SPHERE,TEMPLATE_SPHERE_LIST_FOR_NOTE,0))</f>
        <v>0</v>
      </c>
      <c r="K92" s="1156" t="n">
        <f aca="false">INDEX(TEMPLATE_NOTE_POINT_FHD,B92,MATCH(TEMPLATE_SPHERE,TEMPLATE_SPHERE_LIST_FOR_NOTE,0))</f>
        <v>0</v>
      </c>
      <c r="L92" s="1144" t="str">
        <f aca="false">IF(I92=0,"",I92)</f>
        <v/>
      </c>
      <c r="M92" s="1144" t="str">
        <f aca="false">IF(J92=0,"",J92)</f>
        <v/>
      </c>
      <c r="N92" s="1144" t="str">
        <f aca="false">IF(K92=0,"",K92)</f>
        <v/>
      </c>
      <c r="O92" s="1157"/>
      <c r="P92" s="1157" t="s">
        <v>160</v>
      </c>
      <c r="Q92" s="1157"/>
      <c r="R92" s="1157"/>
      <c r="S92" s="1157"/>
      <c r="T92" s="1141"/>
      <c r="U92" s="1141" t="s">
        <v>2145</v>
      </c>
      <c r="V92" s="1141"/>
      <c r="W92" s="1141"/>
      <c r="X92" s="1141"/>
      <c r="Y92" s="1145"/>
      <c r="Z92" s="1126"/>
      <c r="AA92" s="1133" t="s">
        <v>2146</v>
      </c>
      <c r="AB92" s="1126"/>
      <c r="AC92" s="1126"/>
      <c r="AD92" s="1126"/>
    </row>
    <row r="93" customFormat="false" ht="27" hidden="false" customHeight="true" outlineLevel="0" collapsed="false">
      <c r="A93" s="1143"/>
      <c r="B93" s="1146" t="n">
        <v>76</v>
      </c>
      <c r="C93" s="1141"/>
      <c r="D93" s="1154"/>
      <c r="E93" s="1141"/>
      <c r="F93" s="1141"/>
      <c r="G93" s="1141"/>
      <c r="H93" s="1159"/>
      <c r="I93" s="1156" t="n">
        <f aca="false">INDEX(TEMPLATE_NUMBER_POINT_FHD,B93,MATCH(TEMPLATE_SPHERE,TEMPLATE_SPHERE_LIST_FOR_NOTE,0))</f>
        <v>0</v>
      </c>
      <c r="J93" s="1156" t="n">
        <f aca="false">INDEX(TEMPLATE_DATA_POINT_FHD,B93,MATCH(TEMPLATE_SPHERE,TEMPLATE_SPHERE_LIST_FOR_NOTE,0))</f>
        <v>0</v>
      </c>
      <c r="K93" s="1156" t="n">
        <f aca="false">INDEX(TEMPLATE_NOTE_POINT_FHD,B93,MATCH(TEMPLATE_SPHERE,TEMPLATE_SPHERE_LIST_FOR_NOTE,0))</f>
        <v>0</v>
      </c>
      <c r="L93" s="1144" t="str">
        <f aca="false">IF(I93=0,"",I93)</f>
        <v/>
      </c>
      <c r="M93" s="1144" t="str">
        <f aca="false">IF(J93=0,"",J93)</f>
        <v/>
      </c>
      <c r="N93" s="1144" t="str">
        <f aca="false">IF(K93=0,"",K93)</f>
        <v/>
      </c>
      <c r="O93" s="1157"/>
      <c r="P93" s="1157" t="s">
        <v>2045</v>
      </c>
      <c r="Q93" s="1157"/>
      <c r="R93" s="1157"/>
      <c r="S93" s="1157"/>
      <c r="T93" s="1141"/>
      <c r="U93" s="1141" t="s">
        <v>2147</v>
      </c>
      <c r="V93" s="1141"/>
      <c r="W93" s="1141"/>
      <c r="X93" s="1141"/>
      <c r="Y93" s="1145"/>
      <c r="Z93" s="1126"/>
      <c r="AA93" s="1133" t="s">
        <v>2148</v>
      </c>
      <c r="AB93" s="1126"/>
      <c r="AC93" s="1126"/>
      <c r="AD93" s="1126"/>
    </row>
    <row r="94" customFormat="false" ht="45" hidden="false" customHeight="true" outlineLevel="0" collapsed="false">
      <c r="A94" s="1143"/>
      <c r="B94" s="1146" t="n">
        <v>77</v>
      </c>
      <c r="C94" s="1141"/>
      <c r="D94" s="1154" t="s">
        <v>2142</v>
      </c>
      <c r="E94" s="1141"/>
      <c r="F94" s="1141"/>
      <c r="G94" s="1141"/>
      <c r="H94" s="1159"/>
      <c r="I94" s="1156" t="n">
        <f aca="false">INDEX(TEMPLATE_NUMBER_POINT_FHD,B94,MATCH(TEMPLATE_SPHERE,TEMPLATE_SPHERE_LIST_FOR_NOTE,0))</f>
        <v>0</v>
      </c>
      <c r="J94" s="1156" t="n">
        <f aca="false">INDEX(TEMPLATE_DATA_POINT_FHD,B94,MATCH(TEMPLATE_SPHERE,TEMPLATE_SPHERE_LIST_FOR_NOTE,0))</f>
        <v>0</v>
      </c>
      <c r="K94" s="1156" t="n">
        <f aca="false">INDEX(TEMPLATE_NOTE_POINT_FHD,B94,MATCH(TEMPLATE_SPHERE,TEMPLATE_SPHERE_LIST_FOR_NOTE,0))</f>
        <v>0</v>
      </c>
      <c r="L94" s="1144" t="str">
        <f aca="false">IF(I94=0,"",I94)</f>
        <v/>
      </c>
      <c r="M94" s="1144" t="str">
        <f aca="false">IF(J94=0,"",J94)</f>
        <v/>
      </c>
      <c r="N94" s="1144" t="str">
        <f aca="false">IF(K94=0,"",K94)</f>
        <v/>
      </c>
      <c r="O94" s="1157"/>
      <c r="P94" s="1157" t="s">
        <v>1399</v>
      </c>
      <c r="Q94" s="1157"/>
      <c r="R94" s="1157"/>
      <c r="S94" s="1157"/>
      <c r="T94" s="1141"/>
      <c r="U94" s="1141" t="s">
        <v>2149</v>
      </c>
      <c r="V94" s="1141"/>
      <c r="W94" s="1141"/>
      <c r="X94" s="1141"/>
      <c r="Y94" s="1145"/>
      <c r="Z94" s="1126"/>
      <c r="AA94" s="1133" t="s">
        <v>2150</v>
      </c>
      <c r="AB94" s="1126"/>
      <c r="AC94" s="1126"/>
      <c r="AD94" s="1126"/>
    </row>
    <row r="95" customFormat="false" ht="99" hidden="false" customHeight="true" outlineLevel="0" collapsed="false">
      <c r="A95" s="1143"/>
      <c r="B95" s="1146" t="n">
        <v>78</v>
      </c>
      <c r="C95" s="1141" t="s">
        <v>2151</v>
      </c>
      <c r="D95" s="1154"/>
      <c r="E95" s="1141"/>
      <c r="F95" s="1141"/>
      <c r="G95" s="1141"/>
      <c r="H95" s="1159"/>
      <c r="I95" s="1156" t="n">
        <f aca="false">INDEX(TEMPLATE_NUMBER_POINT_FHD,B95,MATCH(TEMPLATE_SPHERE,TEMPLATE_SPHERE_LIST_FOR_NOTE,0))</f>
        <v>0</v>
      </c>
      <c r="J95" s="1156" t="n">
        <f aca="false">INDEX(TEMPLATE_DATA_POINT_FHD,B95,MATCH(TEMPLATE_SPHERE,TEMPLATE_SPHERE_LIST_FOR_NOTE,0))</f>
        <v>0</v>
      </c>
      <c r="K95" s="1156" t="n">
        <f aca="false">INDEX(TEMPLATE_NOTE_POINT_FHD,B95,MATCH(TEMPLATE_SPHERE,TEMPLATE_SPHERE_LIST_FOR_NOTE,0))</f>
        <v>0</v>
      </c>
      <c r="L95" s="1144" t="str">
        <f aca="false">IF(I95=0,"",I95)</f>
        <v/>
      </c>
      <c r="M95" s="1144" t="str">
        <f aca="false">IF(J95=0,"",J95)</f>
        <v/>
      </c>
      <c r="N95" s="1144" t="str">
        <f aca="false">IF(K95=0,"",K95)</f>
        <v/>
      </c>
      <c r="O95" s="1157" t="s">
        <v>1399</v>
      </c>
      <c r="P95" s="1157"/>
      <c r="Q95" s="1157"/>
      <c r="R95" s="1157"/>
      <c r="S95" s="1157"/>
      <c r="T95" s="1141" t="s">
        <v>2152</v>
      </c>
      <c r="U95" s="1141"/>
      <c r="V95" s="1141"/>
      <c r="W95" s="1141"/>
      <c r="X95" s="1141"/>
      <c r="Y95" s="1145"/>
      <c r="Z95" s="1126"/>
      <c r="AA95" s="1133"/>
      <c r="AB95" s="1126"/>
      <c r="AC95" s="1126"/>
      <c r="AD95" s="1126"/>
    </row>
    <row r="96" customFormat="false" ht="99" hidden="false" customHeight="true" outlineLevel="0" collapsed="false">
      <c r="A96" s="1143"/>
      <c r="B96" s="1146" t="n">
        <v>79</v>
      </c>
      <c r="C96" s="1141" t="s">
        <v>1086</v>
      </c>
      <c r="D96" s="1154"/>
      <c r="E96" s="1141"/>
      <c r="F96" s="1141"/>
      <c r="G96" s="1141"/>
      <c r="H96" s="1159"/>
      <c r="I96" s="1156" t="n">
        <f aca="false">INDEX(TEMPLATE_NUMBER_POINT_FHD,B96,MATCH(TEMPLATE_SPHERE,TEMPLATE_SPHERE_LIST_FOR_NOTE,0))</f>
        <v>0</v>
      </c>
      <c r="J96" s="1156" t="n">
        <f aca="false">INDEX(TEMPLATE_DATA_POINT_FHD,B96,MATCH(TEMPLATE_SPHERE,TEMPLATE_SPHERE_LIST_FOR_NOTE,0))</f>
        <v>0</v>
      </c>
      <c r="K96" s="1156" t="n">
        <f aca="false">INDEX(TEMPLATE_NOTE_POINT_FHD,B96,MATCH(TEMPLATE_SPHERE,TEMPLATE_SPHERE_LIST_FOR_NOTE,0))</f>
        <v>0</v>
      </c>
      <c r="L96" s="1144" t="str">
        <f aca="false">IF(I96=0,"",I96)</f>
        <v/>
      </c>
      <c r="M96" s="1144" t="str">
        <f aca="false">IF(J96=0,"",J96)</f>
        <v/>
      </c>
      <c r="N96" s="1144" t="str">
        <f aca="false">IF(K96=0,"",K96)</f>
        <v/>
      </c>
      <c r="O96" s="1157" t="s">
        <v>1405</v>
      </c>
      <c r="P96" s="1157"/>
      <c r="Q96" s="1157"/>
      <c r="R96" s="1157"/>
      <c r="S96" s="1157"/>
      <c r="T96" s="1141" t="s">
        <v>2153</v>
      </c>
      <c r="U96" s="1141"/>
      <c r="V96" s="1141"/>
      <c r="W96" s="1141"/>
      <c r="X96" s="1141"/>
      <c r="Y96" s="1145"/>
      <c r="Z96" s="1126" t="s">
        <v>2154</v>
      </c>
      <c r="AA96" s="1133"/>
      <c r="AB96" s="1126"/>
      <c r="AC96" s="1126"/>
      <c r="AD96" s="1126"/>
    </row>
    <row r="97" customFormat="false" ht="63" hidden="false" customHeight="true" outlineLevel="0" collapsed="false">
      <c r="A97" s="1143"/>
      <c r="B97" s="1146" t="n">
        <v>80</v>
      </c>
      <c r="C97" s="1141" t="s">
        <v>2155</v>
      </c>
      <c r="D97" s="1154"/>
      <c r="E97" s="1141"/>
      <c r="F97" s="1141"/>
      <c r="G97" s="1141"/>
      <c r="H97" s="1159"/>
      <c r="I97" s="1156" t="n">
        <f aca="false">INDEX(TEMPLATE_NUMBER_POINT_FHD,B97,MATCH(TEMPLATE_SPHERE,TEMPLATE_SPHERE_LIST_FOR_NOTE,0))</f>
        <v>0</v>
      </c>
      <c r="J97" s="1156" t="n">
        <f aca="false">INDEX(TEMPLATE_DATA_POINT_FHD,B97,MATCH(TEMPLATE_SPHERE,TEMPLATE_SPHERE_LIST_FOR_NOTE,0))</f>
        <v>0</v>
      </c>
      <c r="K97" s="1156" t="n">
        <f aca="false">INDEX(TEMPLATE_NOTE_POINT_FHD,B97,MATCH(TEMPLATE_SPHERE,TEMPLATE_SPHERE_LIST_FOR_NOTE,0))</f>
        <v>0</v>
      </c>
      <c r="L97" s="1144" t="str">
        <f aca="false">IF(I97=0,"",I97)</f>
        <v/>
      </c>
      <c r="M97" s="1144" t="str">
        <f aca="false">IF(J97=0,"",J97)</f>
        <v/>
      </c>
      <c r="N97" s="1144" t="str">
        <f aca="false">IF(K97=0,"",K97)</f>
        <v/>
      </c>
      <c r="O97" s="1157" t="s">
        <v>1416</v>
      </c>
      <c r="P97" s="1157"/>
      <c r="Q97" s="1157"/>
      <c r="R97" s="1157"/>
      <c r="S97" s="1157"/>
      <c r="T97" s="1141" t="s">
        <v>2156</v>
      </c>
      <c r="U97" s="1141"/>
      <c r="V97" s="1141"/>
      <c r="W97" s="1141"/>
      <c r="X97" s="1141"/>
      <c r="Y97" s="1145"/>
      <c r="Z97" s="1126" t="s">
        <v>2157</v>
      </c>
      <c r="AA97" s="1133"/>
      <c r="AB97" s="1126"/>
      <c r="AC97" s="1126"/>
      <c r="AD97" s="1126"/>
    </row>
    <row r="98" customFormat="false" ht="63" hidden="false" customHeight="true" outlineLevel="0" collapsed="false">
      <c r="A98" s="1143"/>
      <c r="B98" s="1146" t="n">
        <v>81</v>
      </c>
      <c r="C98" s="1141" t="s">
        <v>2158</v>
      </c>
      <c r="D98" s="1154"/>
      <c r="E98" s="1141"/>
      <c r="F98" s="1141"/>
      <c r="G98" s="1141"/>
      <c r="H98" s="1159"/>
      <c r="I98" s="1156" t="n">
        <f aca="false">INDEX(TEMPLATE_NUMBER_POINT_FHD,B98,MATCH(TEMPLATE_SPHERE,TEMPLATE_SPHERE_LIST_FOR_NOTE,0))</f>
        <v>0</v>
      </c>
      <c r="J98" s="1156" t="n">
        <f aca="false">INDEX(TEMPLATE_DATA_POINT_FHD,B98,MATCH(TEMPLATE_SPHERE,TEMPLATE_SPHERE_LIST_FOR_NOTE,0))</f>
        <v>0</v>
      </c>
      <c r="K98" s="1156" t="n">
        <f aca="false">INDEX(TEMPLATE_NOTE_POINT_FHD,B98,MATCH(TEMPLATE_SPHERE,TEMPLATE_SPHERE_LIST_FOR_NOTE,0))</f>
        <v>0</v>
      </c>
      <c r="L98" s="1144" t="str">
        <f aca="false">IF(I98=0,"",I98)</f>
        <v/>
      </c>
      <c r="M98" s="1144" t="str">
        <f aca="false">IF(J98=0,"",J98)</f>
        <v/>
      </c>
      <c r="N98" s="1144" t="str">
        <f aca="false">IF(K98=0,"",K98)</f>
        <v/>
      </c>
      <c r="O98" s="1157" t="s">
        <v>1430</v>
      </c>
      <c r="P98" s="1157"/>
      <c r="Q98" s="1157"/>
      <c r="R98" s="1157"/>
      <c r="S98" s="1157"/>
      <c r="T98" s="1141" t="s">
        <v>2159</v>
      </c>
      <c r="U98" s="1141"/>
      <c r="V98" s="1141"/>
      <c r="W98" s="1141"/>
      <c r="X98" s="1141"/>
      <c r="Y98" s="1145"/>
      <c r="Z98" s="1126" t="s">
        <v>2157</v>
      </c>
      <c r="AA98" s="1133"/>
      <c r="AB98" s="1126"/>
      <c r="AC98" s="1126"/>
      <c r="AD98" s="1126"/>
    </row>
    <row r="99" customFormat="false" ht="90" hidden="false" customHeight="true" outlineLevel="0" collapsed="false">
      <c r="A99" s="1143"/>
      <c r="B99" s="1146" t="n">
        <v>82</v>
      </c>
      <c r="C99" s="1141" t="s">
        <v>2160</v>
      </c>
      <c r="D99" s="1154"/>
      <c r="E99" s="1141"/>
      <c r="F99" s="1141"/>
      <c r="G99" s="1141"/>
      <c r="H99" s="1159"/>
      <c r="I99" s="1156" t="n">
        <f aca="false">INDEX(TEMPLATE_NUMBER_POINT_FHD,B99,MATCH(TEMPLATE_SPHERE,TEMPLATE_SPHERE_LIST_FOR_NOTE,0))</f>
        <v>0</v>
      </c>
      <c r="J99" s="1156" t="n">
        <f aca="false">INDEX(TEMPLATE_DATA_POINT_FHD,B99,MATCH(TEMPLATE_SPHERE,TEMPLATE_SPHERE_LIST_FOR_NOTE,0))</f>
        <v>0</v>
      </c>
      <c r="K99" s="1156" t="n">
        <f aca="false">INDEX(TEMPLATE_NOTE_POINT_FHD,B99,MATCH(TEMPLATE_SPHERE,TEMPLATE_SPHERE_LIST_FOR_NOTE,0))</f>
        <v>0</v>
      </c>
      <c r="L99" s="1144" t="str">
        <f aca="false">IF(I99=0,"",I99)</f>
        <v/>
      </c>
      <c r="M99" s="1144" t="str">
        <f aca="false">IF(J99=0,"",J99)</f>
        <v/>
      </c>
      <c r="N99" s="1144" t="str">
        <f aca="false">IF(K99=0,"",K99)</f>
        <v/>
      </c>
      <c r="O99" s="1157" t="s">
        <v>1442</v>
      </c>
      <c r="P99" s="1157"/>
      <c r="Q99" s="1157"/>
      <c r="R99" s="1157"/>
      <c r="S99" s="1157"/>
      <c r="T99" s="1141" t="s">
        <v>2161</v>
      </c>
      <c r="U99" s="1141"/>
      <c r="V99" s="1141"/>
      <c r="W99" s="1141"/>
      <c r="X99" s="1141"/>
      <c r="Y99" s="1145"/>
      <c r="Z99" s="1126" t="s">
        <v>827</v>
      </c>
      <c r="AA99" s="1133"/>
      <c r="AB99" s="1126"/>
      <c r="AC99" s="1126"/>
      <c r="AD99" s="1126"/>
    </row>
    <row r="100" customFormat="false" ht="27" hidden="false" customHeight="true" outlineLevel="0" collapsed="false">
      <c r="A100" s="1143"/>
      <c r="B100" s="1146" t="n">
        <v>83</v>
      </c>
      <c r="C100" s="1141"/>
      <c r="D100" s="1154"/>
      <c r="E100" s="1141"/>
      <c r="F100" s="1141"/>
      <c r="G100" s="1141"/>
      <c r="H100" s="1159"/>
      <c r="I100" s="1156" t="n">
        <f aca="false">INDEX(TEMPLATE_NUMBER_POINT_FHD,B100,MATCH(TEMPLATE_SPHERE,TEMPLATE_SPHERE_LIST_FOR_NOTE,0))</f>
        <v>0</v>
      </c>
      <c r="J100" s="1156" t="n">
        <f aca="false">INDEX(TEMPLATE_DATA_POINT_FHD,B100,MATCH(TEMPLATE_SPHERE,TEMPLATE_SPHERE_LIST_FOR_NOTE,0))</f>
        <v>0</v>
      </c>
      <c r="K100" s="1156" t="n">
        <f aca="false">INDEX(TEMPLATE_NOTE_POINT_FHD,B100,MATCH(TEMPLATE_SPHERE,TEMPLATE_SPHERE_LIST_FOR_NOTE,0))</f>
        <v>0</v>
      </c>
      <c r="L100" s="1144" t="str">
        <f aca="false">IF(I100=0,"",I100)</f>
        <v/>
      </c>
      <c r="M100" s="1144" t="str">
        <f aca="false">IF(J100=0,"",J100)</f>
        <v/>
      </c>
      <c r="N100" s="1144" t="str">
        <f aca="false">IF(K100=0,"",K100)</f>
        <v/>
      </c>
      <c r="O100" s="1157" t="s">
        <v>2162</v>
      </c>
      <c r="P100" s="1157"/>
      <c r="Q100" s="1157"/>
      <c r="R100" s="1157"/>
      <c r="S100" s="1157"/>
      <c r="T100" s="1141" t="s">
        <v>2163</v>
      </c>
      <c r="U100" s="1141"/>
      <c r="V100" s="1141"/>
      <c r="W100" s="1141"/>
      <c r="X100" s="1141"/>
      <c r="Y100" s="1145"/>
      <c r="Z100" s="1126" t="s">
        <v>827</v>
      </c>
      <c r="AA100" s="1133"/>
      <c r="AB100" s="1126"/>
      <c r="AC100" s="1126"/>
      <c r="AD100" s="1126"/>
    </row>
    <row r="101" customFormat="false" ht="27" hidden="false" customHeight="true" outlineLevel="0" collapsed="false">
      <c r="A101" s="1143"/>
      <c r="B101" s="1146" t="n">
        <v>84</v>
      </c>
      <c r="C101" s="1141"/>
      <c r="D101" s="1154"/>
      <c r="E101" s="1141"/>
      <c r="F101" s="1141"/>
      <c r="G101" s="1141"/>
      <c r="H101" s="1159"/>
      <c r="I101" s="1156" t="n">
        <f aca="false">INDEX(TEMPLATE_NUMBER_POINT_FHD,B101,MATCH(TEMPLATE_SPHERE,TEMPLATE_SPHERE_LIST_FOR_NOTE,0))</f>
        <v>0</v>
      </c>
      <c r="J101" s="1156" t="n">
        <f aca="false">INDEX(TEMPLATE_DATA_POINT_FHD,B101,MATCH(TEMPLATE_SPHERE,TEMPLATE_SPHERE_LIST_FOR_NOTE,0))</f>
        <v>0</v>
      </c>
      <c r="K101" s="1156" t="n">
        <f aca="false">INDEX(TEMPLATE_NOTE_POINT_FHD,B101,MATCH(TEMPLATE_SPHERE,TEMPLATE_SPHERE_LIST_FOR_NOTE,0))</f>
        <v>0</v>
      </c>
      <c r="L101" s="1144" t="str">
        <f aca="false">IF(I101=0,"",I101)</f>
        <v/>
      </c>
      <c r="M101" s="1144" t="str">
        <f aca="false">IF(J101=0,"",J101)</f>
        <v/>
      </c>
      <c r="N101" s="1144" t="str">
        <f aca="false">IF(K101=0,"",K101)</f>
        <v/>
      </c>
      <c r="O101" s="1157" t="s">
        <v>2164</v>
      </c>
      <c r="P101" s="1157"/>
      <c r="Q101" s="1157"/>
      <c r="R101" s="1157"/>
      <c r="S101" s="1157"/>
      <c r="T101" s="1141" t="s">
        <v>2165</v>
      </c>
      <c r="U101" s="1141"/>
      <c r="V101" s="1141"/>
      <c r="W101" s="1141"/>
      <c r="X101" s="1141"/>
      <c r="Y101" s="1145"/>
      <c r="Z101" s="1126" t="s">
        <v>827</v>
      </c>
      <c r="AA101" s="1133"/>
      <c r="AB101" s="1126"/>
      <c r="AC101" s="1126"/>
      <c r="AD101" s="1126"/>
    </row>
    <row r="102" customFormat="false" ht="9" hidden="false" customHeight="true" outlineLevel="0" collapsed="false">
      <c r="A102" s="1143"/>
      <c r="B102" s="1143"/>
      <c r="C102" s="1141"/>
      <c r="D102" s="1141"/>
      <c r="E102" s="1141"/>
      <c r="F102" s="1141"/>
      <c r="G102" s="1141"/>
      <c r="H102" s="1159"/>
      <c r="I102" s="1159"/>
      <c r="J102" s="1159"/>
      <c r="K102" s="1159"/>
      <c r="L102" s="1159"/>
      <c r="M102" s="1141"/>
      <c r="N102" s="1164"/>
      <c r="O102" s="1157"/>
      <c r="P102" s="1157"/>
      <c r="Q102" s="1157"/>
      <c r="R102" s="1157"/>
      <c r="S102" s="1141"/>
      <c r="T102" s="1141"/>
      <c r="U102" s="1141"/>
      <c r="V102" s="1141"/>
      <c r="W102" s="1141"/>
      <c r="X102" s="1141"/>
      <c r="Y102" s="1145"/>
      <c r="Z102" s="1126"/>
      <c r="AA102" s="1133"/>
      <c r="AB102" s="1126"/>
      <c r="AC102" s="1126"/>
      <c r="AD102" s="1126"/>
    </row>
    <row r="103" customFormat="false" ht="9" hidden="false" customHeight="true" outlineLevel="0" collapsed="false">
      <c r="A103" s="1143"/>
      <c r="B103" s="1143"/>
      <c r="C103" s="1141"/>
      <c r="D103" s="1141"/>
      <c r="E103" s="1141"/>
      <c r="F103" s="1141"/>
      <c r="G103" s="1141"/>
      <c r="H103" s="1159"/>
      <c r="I103" s="1159"/>
      <c r="J103" s="1159"/>
      <c r="K103" s="1159"/>
      <c r="L103" s="1159"/>
      <c r="M103" s="1141"/>
      <c r="N103" s="1164"/>
      <c r="O103" s="1157"/>
      <c r="P103" s="1157"/>
      <c r="Q103" s="1157"/>
      <c r="R103" s="1157"/>
      <c r="S103" s="1141"/>
      <c r="T103" s="1141"/>
      <c r="U103" s="1141"/>
      <c r="V103" s="1141"/>
      <c r="W103" s="1141"/>
      <c r="X103" s="1141"/>
      <c r="Y103" s="1145"/>
      <c r="Z103" s="1126"/>
      <c r="AA103" s="1133"/>
      <c r="AB103" s="1126"/>
      <c r="AC103" s="1126"/>
      <c r="AD103" s="1126"/>
    </row>
    <row r="104" customFormat="false" ht="9" hidden="false" customHeight="true" outlineLevel="0" collapsed="false">
      <c r="A104" s="1143"/>
      <c r="B104" s="1143"/>
      <c r="C104" s="1141"/>
      <c r="D104" s="1141"/>
      <c r="E104" s="1141"/>
      <c r="F104" s="1141"/>
      <c r="G104" s="1141"/>
      <c r="H104" s="1159"/>
      <c r="I104" s="1159"/>
      <c r="J104" s="1159"/>
      <c r="K104" s="1159"/>
      <c r="L104" s="1159"/>
      <c r="M104" s="1141"/>
      <c r="N104" s="1164"/>
      <c r="O104" s="1157"/>
      <c r="P104" s="1157"/>
      <c r="Q104" s="1157"/>
      <c r="R104" s="1157"/>
      <c r="S104" s="1141"/>
      <c r="T104" s="1141"/>
      <c r="U104" s="1141"/>
      <c r="V104" s="1141"/>
      <c r="W104" s="1141"/>
      <c r="X104" s="1141"/>
      <c r="Y104" s="1145"/>
      <c r="Z104" s="1126"/>
      <c r="AA104" s="1133"/>
      <c r="AB104" s="1126"/>
      <c r="AC104" s="1126"/>
      <c r="AD104" s="1126"/>
    </row>
    <row r="105" customFormat="false" ht="9" hidden="false" customHeight="true" outlineLevel="0" collapsed="false">
      <c r="A105" s="1143"/>
      <c r="B105" s="1143"/>
      <c r="C105" s="1141"/>
      <c r="D105" s="1141"/>
      <c r="E105" s="1141"/>
      <c r="F105" s="1141"/>
      <c r="G105" s="1141"/>
      <c r="H105" s="1159"/>
      <c r="I105" s="1159"/>
      <c r="J105" s="1159"/>
      <c r="K105" s="1159"/>
      <c r="L105" s="1159"/>
      <c r="M105" s="1141"/>
      <c r="N105" s="1164"/>
      <c r="O105" s="1157"/>
      <c r="P105" s="1157"/>
      <c r="Q105" s="1157"/>
      <c r="R105" s="1157"/>
      <c r="S105" s="1141"/>
      <c r="T105" s="1141"/>
      <c r="U105" s="1141"/>
      <c r="V105" s="1141"/>
      <c r="W105" s="1141"/>
      <c r="X105" s="1141"/>
      <c r="Y105" s="1145"/>
      <c r="Z105" s="1126"/>
      <c r="AA105" s="1133"/>
      <c r="AB105" s="1126"/>
      <c r="AC105" s="1126"/>
      <c r="AD105" s="1126"/>
    </row>
    <row r="106" customFormat="false" ht="9" hidden="false" customHeight="true" outlineLevel="0" collapsed="false">
      <c r="A106" s="1143"/>
      <c r="B106" s="1143"/>
      <c r="C106" s="1141"/>
      <c r="D106" s="1141"/>
      <c r="E106" s="1141"/>
      <c r="F106" s="1141"/>
      <c r="G106" s="1141"/>
      <c r="H106" s="1159"/>
      <c r="I106" s="1159"/>
      <c r="J106" s="1159"/>
      <c r="K106" s="1159"/>
      <c r="L106" s="1159"/>
      <c r="M106" s="1141"/>
      <c r="N106" s="1164"/>
      <c r="O106" s="1157"/>
      <c r="P106" s="1157"/>
      <c r="Q106" s="1157"/>
      <c r="R106" s="1157"/>
      <c r="S106" s="1141"/>
      <c r="T106" s="1141"/>
      <c r="U106" s="1141"/>
      <c r="V106" s="1141"/>
      <c r="W106" s="1141"/>
      <c r="X106" s="1141"/>
      <c r="Y106" s="1145"/>
      <c r="Z106" s="1126"/>
      <c r="AA106" s="1133"/>
      <c r="AB106" s="1126"/>
      <c r="AC106" s="1126"/>
      <c r="AD106" s="1126"/>
    </row>
    <row r="107" customFormat="false" ht="9" hidden="false" customHeight="true" outlineLevel="0" collapsed="false">
      <c r="A107" s="1143"/>
      <c r="B107" s="1143"/>
      <c r="C107" s="1141"/>
      <c r="D107" s="1141"/>
      <c r="E107" s="1141"/>
      <c r="F107" s="1141"/>
      <c r="G107" s="1141"/>
      <c r="H107" s="1159"/>
      <c r="I107" s="1159"/>
      <c r="J107" s="1159"/>
      <c r="K107" s="1159"/>
      <c r="L107" s="1159"/>
      <c r="M107" s="1141"/>
      <c r="N107" s="1164"/>
      <c r="O107" s="1157"/>
      <c r="P107" s="1157"/>
      <c r="Q107" s="1157"/>
      <c r="R107" s="1157"/>
      <c r="S107" s="1141"/>
      <c r="T107" s="1141"/>
      <c r="U107" s="1141"/>
      <c r="V107" s="1141"/>
      <c r="W107" s="1141"/>
      <c r="X107" s="1141"/>
      <c r="Y107" s="1145"/>
      <c r="Z107" s="1126"/>
      <c r="AA107" s="1133"/>
      <c r="AB107" s="1126"/>
      <c r="AC107" s="1126"/>
      <c r="AD107" s="1126"/>
    </row>
    <row r="108" customFormat="false" ht="9" hidden="false" customHeight="true" outlineLevel="0" collapsed="false">
      <c r="A108" s="1143"/>
      <c r="B108" s="1143"/>
      <c r="C108" s="1141"/>
      <c r="D108" s="1141"/>
      <c r="E108" s="1141"/>
      <c r="F108" s="1141"/>
      <c r="G108" s="1141"/>
      <c r="H108" s="1159"/>
      <c r="I108" s="1159"/>
      <c r="J108" s="1159"/>
      <c r="K108" s="1159"/>
      <c r="L108" s="1159"/>
      <c r="M108" s="1141"/>
      <c r="N108" s="1164"/>
      <c r="O108" s="1157"/>
      <c r="P108" s="1157"/>
      <c r="Q108" s="1157"/>
      <c r="R108" s="1157"/>
      <c r="S108" s="1141"/>
      <c r="T108" s="1141"/>
      <c r="U108" s="1141"/>
      <c r="V108" s="1141"/>
      <c r="W108" s="1141"/>
      <c r="X108" s="1141"/>
      <c r="Y108" s="1145"/>
      <c r="Z108" s="1126"/>
      <c r="AA108" s="1133"/>
      <c r="AB108" s="1126"/>
      <c r="AC108" s="1126"/>
      <c r="AD108" s="1126"/>
    </row>
    <row r="109" customFormat="false" ht="9" hidden="false" customHeight="true" outlineLevel="0" collapsed="false">
      <c r="A109" s="1143"/>
      <c r="B109" s="1143"/>
      <c r="C109" s="1141"/>
      <c r="D109" s="1141"/>
      <c r="E109" s="1141"/>
      <c r="F109" s="1141"/>
      <c r="G109" s="1141"/>
      <c r="H109" s="1159"/>
      <c r="I109" s="1159"/>
      <c r="J109" s="1159"/>
      <c r="K109" s="1159"/>
      <c r="L109" s="1159"/>
      <c r="M109" s="1141"/>
      <c r="N109" s="1164"/>
      <c r="O109" s="1157"/>
      <c r="P109" s="1157"/>
      <c r="Q109" s="1157"/>
      <c r="R109" s="1157"/>
      <c r="S109" s="1141"/>
      <c r="T109" s="1141"/>
      <c r="U109" s="1141"/>
      <c r="V109" s="1141"/>
      <c r="W109" s="1141"/>
      <c r="X109" s="1141"/>
      <c r="Y109" s="1145"/>
      <c r="Z109" s="1126"/>
      <c r="AA109" s="1133"/>
      <c r="AB109" s="1126"/>
      <c r="AC109" s="1126"/>
      <c r="AD109" s="1126"/>
    </row>
    <row r="110" customFormat="false" ht="9" hidden="false" customHeight="true" outlineLevel="0" collapsed="false">
      <c r="A110" s="1143"/>
      <c r="B110" s="1143"/>
      <c r="C110" s="1141"/>
      <c r="D110" s="1141"/>
      <c r="E110" s="1141"/>
      <c r="F110" s="1141"/>
      <c r="G110" s="1141"/>
      <c r="H110" s="1159"/>
      <c r="I110" s="1159"/>
      <c r="J110" s="1159"/>
      <c r="K110" s="1159"/>
      <c r="L110" s="1159"/>
      <c r="M110" s="1141"/>
      <c r="N110" s="1164"/>
      <c r="O110" s="1157"/>
      <c r="P110" s="1157"/>
      <c r="Q110" s="1157"/>
      <c r="R110" s="1157"/>
      <c r="S110" s="1141"/>
      <c r="T110" s="1141"/>
      <c r="U110" s="1141"/>
      <c r="V110" s="1141"/>
      <c r="W110" s="1141"/>
      <c r="X110" s="1141"/>
      <c r="Y110" s="1145"/>
      <c r="Z110" s="1126"/>
      <c r="AA110" s="1133"/>
      <c r="AB110" s="1126"/>
      <c r="AC110" s="1126"/>
      <c r="AD110" s="1126"/>
    </row>
    <row r="111" customFormat="false" ht="9" hidden="false" customHeight="true" outlineLevel="0" collapsed="false">
      <c r="A111" s="1143"/>
      <c r="B111" s="1143"/>
      <c r="C111" s="1141"/>
      <c r="D111" s="1141"/>
      <c r="E111" s="1141"/>
      <c r="F111" s="1141"/>
      <c r="G111" s="1141"/>
      <c r="H111" s="1159"/>
      <c r="I111" s="1159"/>
      <c r="J111" s="1159"/>
      <c r="K111" s="1159"/>
      <c r="L111" s="1159"/>
      <c r="M111" s="1141"/>
      <c r="N111" s="1164"/>
      <c r="O111" s="1157"/>
      <c r="P111" s="1157"/>
      <c r="Q111" s="1157"/>
      <c r="R111" s="1157"/>
      <c r="S111" s="1141"/>
      <c r="T111" s="1141"/>
      <c r="U111" s="1141"/>
      <c r="V111" s="1141"/>
      <c r="W111" s="1141"/>
      <c r="X111" s="1141"/>
      <c r="Y111" s="1145"/>
      <c r="Z111" s="1126"/>
      <c r="AA111" s="1133"/>
      <c r="AB111" s="1126"/>
      <c r="AC111" s="1126"/>
      <c r="AD111" s="1126"/>
    </row>
    <row r="112" customFormat="false" ht="9" hidden="false" customHeight="true" outlineLevel="0" collapsed="false">
      <c r="A112" s="1143"/>
      <c r="B112" s="1143"/>
      <c r="C112" s="1141"/>
      <c r="D112" s="1141"/>
      <c r="E112" s="1141"/>
      <c r="F112" s="1141"/>
      <c r="G112" s="1141"/>
      <c r="H112" s="1159"/>
      <c r="I112" s="1159"/>
      <c r="J112" s="1159"/>
      <c r="K112" s="1159"/>
      <c r="L112" s="1159"/>
      <c r="M112" s="1141"/>
      <c r="N112" s="1164"/>
      <c r="O112" s="1157"/>
      <c r="P112" s="1157"/>
      <c r="Q112" s="1157"/>
      <c r="R112" s="1157"/>
      <c r="S112" s="1141"/>
      <c r="T112" s="1141"/>
      <c r="U112" s="1141"/>
      <c r="V112" s="1141"/>
      <c r="W112" s="1141"/>
      <c r="X112" s="1141"/>
      <c r="Y112" s="1145"/>
      <c r="Z112" s="1126"/>
      <c r="AA112" s="1133"/>
      <c r="AB112" s="1126"/>
      <c r="AC112" s="1126"/>
      <c r="AD112" s="1126"/>
    </row>
    <row r="113" customFormat="false" ht="9" hidden="false" customHeight="true" outlineLevel="0" collapsed="false">
      <c r="A113" s="1143"/>
      <c r="B113" s="1143"/>
      <c r="C113" s="1141"/>
      <c r="D113" s="1141"/>
      <c r="E113" s="1141"/>
      <c r="F113" s="1141"/>
      <c r="G113" s="1141"/>
      <c r="H113" s="1159"/>
      <c r="I113" s="1159"/>
      <c r="J113" s="1159"/>
      <c r="K113" s="1159"/>
      <c r="L113" s="1159"/>
      <c r="M113" s="1141"/>
      <c r="N113" s="1164"/>
      <c r="O113" s="1157"/>
      <c r="P113" s="1157"/>
      <c r="Q113" s="1157"/>
      <c r="R113" s="1157"/>
      <c r="S113" s="1141"/>
      <c r="T113" s="1141"/>
      <c r="U113" s="1141"/>
      <c r="V113" s="1141"/>
      <c r="W113" s="1141"/>
      <c r="X113" s="1141"/>
      <c r="Y113" s="1145"/>
      <c r="Z113" s="1126"/>
      <c r="AA113" s="1133"/>
      <c r="AB113" s="1126"/>
      <c r="AC113" s="1126"/>
      <c r="AD113" s="1126"/>
    </row>
    <row r="114" customFormat="false" ht="9" hidden="false" customHeight="true" outlineLevel="0" collapsed="false">
      <c r="A114" s="1143"/>
      <c r="B114" s="1143"/>
      <c r="C114" s="1141"/>
      <c r="D114" s="1141"/>
      <c r="E114" s="1141"/>
      <c r="F114" s="1141"/>
      <c r="G114" s="1141"/>
      <c r="H114" s="1159"/>
      <c r="I114" s="1159"/>
      <c r="J114" s="1159"/>
      <c r="K114" s="1159"/>
      <c r="L114" s="1159"/>
      <c r="M114" s="1141"/>
      <c r="N114" s="1164"/>
      <c r="O114" s="1157"/>
      <c r="P114" s="1157"/>
      <c r="Q114" s="1157"/>
      <c r="R114" s="1157"/>
      <c r="S114" s="1141"/>
      <c r="T114" s="1141"/>
      <c r="U114" s="1141"/>
      <c r="V114" s="1141"/>
      <c r="W114" s="1141"/>
      <c r="X114" s="1141"/>
      <c r="Y114" s="1145"/>
      <c r="Z114" s="1126"/>
      <c r="AA114" s="1133"/>
      <c r="AB114" s="1126"/>
      <c r="AC114" s="1126"/>
      <c r="AD114" s="1126"/>
    </row>
    <row r="115" customFormat="false" ht="9" hidden="false" customHeight="true" outlineLevel="0" collapsed="false">
      <c r="A115" s="1143"/>
      <c r="B115" s="1143"/>
      <c r="C115" s="1141"/>
      <c r="D115" s="1141"/>
      <c r="E115" s="1141"/>
      <c r="F115" s="1141"/>
      <c r="G115" s="1141"/>
      <c r="H115" s="1159"/>
      <c r="I115" s="1159"/>
      <c r="J115" s="1159"/>
      <c r="K115" s="1159"/>
      <c r="L115" s="1159"/>
      <c r="M115" s="1141"/>
      <c r="N115" s="1164"/>
      <c r="O115" s="1157"/>
      <c r="P115" s="1157"/>
      <c r="Q115" s="1157"/>
      <c r="R115" s="1157"/>
      <c r="S115" s="1141"/>
      <c r="T115" s="1141"/>
      <c r="U115" s="1141"/>
      <c r="V115" s="1141"/>
      <c r="W115" s="1141"/>
      <c r="X115" s="1141"/>
      <c r="Y115" s="1145"/>
      <c r="Z115" s="1126"/>
      <c r="AA115" s="1133"/>
      <c r="AB115" s="1126"/>
      <c r="AC115" s="1126"/>
      <c r="AD115" s="1126"/>
    </row>
    <row r="116" customFormat="false" ht="9" hidden="false" customHeight="true" outlineLevel="0" collapsed="false">
      <c r="A116" s="1143"/>
      <c r="B116" s="1143"/>
      <c r="C116" s="1141"/>
      <c r="D116" s="1141"/>
      <c r="E116" s="1141"/>
      <c r="F116" s="1141"/>
      <c r="G116" s="1141"/>
      <c r="H116" s="1159"/>
      <c r="I116" s="1159"/>
      <c r="J116" s="1159"/>
      <c r="K116" s="1159"/>
      <c r="L116" s="1159"/>
      <c r="M116" s="1141"/>
      <c r="N116" s="1164"/>
      <c r="O116" s="1157"/>
      <c r="P116" s="1157"/>
      <c r="Q116" s="1157"/>
      <c r="R116" s="1157"/>
      <c r="S116" s="1141"/>
      <c r="T116" s="1141"/>
      <c r="U116" s="1141"/>
      <c r="V116" s="1141"/>
      <c r="W116" s="1141"/>
      <c r="X116" s="1141"/>
      <c r="Y116" s="1145"/>
      <c r="Z116" s="1126"/>
      <c r="AA116" s="1133"/>
      <c r="AB116" s="1126"/>
      <c r="AC116" s="1126"/>
      <c r="AD116" s="1126"/>
    </row>
    <row r="117" customFormat="false" ht="9" hidden="false" customHeight="true" outlineLevel="0" collapsed="false">
      <c r="A117" s="1143"/>
      <c r="B117" s="1143"/>
      <c r="C117" s="1141"/>
      <c r="D117" s="1141"/>
      <c r="E117" s="1141"/>
      <c r="F117" s="1141"/>
      <c r="G117" s="1141"/>
      <c r="H117" s="1159"/>
      <c r="I117" s="1159"/>
      <c r="J117" s="1159"/>
      <c r="K117" s="1159"/>
      <c r="L117" s="1159"/>
      <c r="M117" s="1141"/>
      <c r="N117" s="1164"/>
      <c r="O117" s="1157"/>
      <c r="P117" s="1157"/>
      <c r="Q117" s="1157"/>
      <c r="R117" s="1157"/>
      <c r="S117" s="1141"/>
      <c r="T117" s="1141"/>
      <c r="U117" s="1141"/>
      <c r="V117" s="1141"/>
      <c r="W117" s="1141"/>
      <c r="X117" s="1141"/>
      <c r="Y117" s="1145"/>
      <c r="Z117" s="1126"/>
      <c r="AA117" s="1133"/>
      <c r="AB117" s="1126"/>
      <c r="AC117" s="1126"/>
      <c r="AD117" s="1126"/>
    </row>
    <row r="118" customFormat="false" ht="9" hidden="false" customHeight="true" outlineLevel="0" collapsed="false">
      <c r="A118" s="1143"/>
      <c r="B118" s="1143"/>
      <c r="C118" s="1141"/>
      <c r="D118" s="1141"/>
      <c r="E118" s="1141"/>
      <c r="F118" s="1141"/>
      <c r="G118" s="1141"/>
      <c r="H118" s="1159"/>
      <c r="I118" s="1159"/>
      <c r="J118" s="1159"/>
      <c r="K118" s="1159"/>
      <c r="L118" s="1159"/>
      <c r="M118" s="1141"/>
      <c r="N118" s="1164"/>
      <c r="O118" s="1157"/>
      <c r="P118" s="1157"/>
      <c r="Q118" s="1157"/>
      <c r="R118" s="1157"/>
      <c r="S118" s="1141"/>
      <c r="T118" s="1141"/>
      <c r="U118" s="1141"/>
      <c r="V118" s="1141"/>
      <c r="W118" s="1141"/>
      <c r="X118" s="1141"/>
      <c r="Y118" s="1145"/>
      <c r="Z118" s="1126"/>
      <c r="AA118" s="1133"/>
      <c r="AB118" s="1126"/>
      <c r="AC118" s="1126"/>
      <c r="AD118" s="1126"/>
    </row>
    <row r="119" customFormat="false" ht="9" hidden="false" customHeight="true" outlineLevel="0" collapsed="false">
      <c r="A119" s="1143"/>
      <c r="B119" s="1143"/>
      <c r="C119" s="1141"/>
      <c r="D119" s="1141"/>
      <c r="E119" s="1141"/>
      <c r="F119" s="1141"/>
      <c r="G119" s="1141"/>
      <c r="H119" s="1159"/>
      <c r="I119" s="1159"/>
      <c r="J119" s="1159"/>
      <c r="K119" s="1159"/>
      <c r="L119" s="1159"/>
      <c r="M119" s="1141"/>
      <c r="N119" s="1164"/>
      <c r="O119" s="1157"/>
      <c r="P119" s="1157"/>
      <c r="Q119" s="1157"/>
      <c r="R119" s="1157"/>
      <c r="S119" s="1141"/>
      <c r="T119" s="1141"/>
      <c r="U119" s="1141"/>
      <c r="V119" s="1141"/>
      <c r="W119" s="1141"/>
      <c r="X119" s="1141"/>
      <c r="Y119" s="1145"/>
      <c r="Z119" s="1126"/>
      <c r="AA119" s="1133"/>
      <c r="AB119" s="1126"/>
      <c r="AC119" s="1126"/>
      <c r="AD119" s="1126"/>
    </row>
    <row r="120" customFormat="false" ht="9" hidden="false" customHeight="true" outlineLevel="0" collapsed="false">
      <c r="A120" s="1143"/>
      <c r="B120" s="1143"/>
      <c r="C120" s="1141"/>
      <c r="D120" s="1141"/>
      <c r="E120" s="1141"/>
      <c r="F120" s="1141"/>
      <c r="G120" s="1141"/>
      <c r="H120" s="1159"/>
      <c r="I120" s="1159"/>
      <c r="J120" s="1159"/>
      <c r="K120" s="1159"/>
      <c r="L120" s="1159"/>
      <c r="M120" s="1141"/>
      <c r="N120" s="1164"/>
      <c r="O120" s="1157"/>
      <c r="P120" s="1157"/>
      <c r="Q120" s="1157"/>
      <c r="R120" s="1157"/>
      <c r="S120" s="1141"/>
      <c r="T120" s="1141"/>
      <c r="U120" s="1141"/>
      <c r="V120" s="1141"/>
      <c r="W120" s="1141"/>
      <c r="X120" s="1141"/>
      <c r="Y120" s="1145"/>
      <c r="Z120" s="1126"/>
      <c r="AA120" s="1133"/>
      <c r="AB120" s="1126"/>
      <c r="AC120" s="1126"/>
      <c r="AD120" s="1126"/>
    </row>
    <row r="121" customFormat="false" ht="9" hidden="false" customHeight="true" outlineLevel="0" collapsed="false">
      <c r="A121" s="1143"/>
      <c r="B121" s="1143"/>
      <c r="C121" s="1141"/>
      <c r="D121" s="1141"/>
      <c r="E121" s="1141"/>
      <c r="F121" s="1141"/>
      <c r="G121" s="1141"/>
      <c r="H121" s="1159"/>
      <c r="I121" s="1159"/>
      <c r="J121" s="1159"/>
      <c r="K121" s="1159"/>
      <c r="L121" s="1159"/>
      <c r="M121" s="1141"/>
      <c r="N121" s="1164"/>
      <c r="O121" s="1157"/>
      <c r="P121" s="1157"/>
      <c r="Q121" s="1157"/>
      <c r="R121" s="1157"/>
      <c r="S121" s="1141"/>
      <c r="T121" s="1141"/>
      <c r="U121" s="1141"/>
      <c r="V121" s="1141"/>
      <c r="W121" s="1141"/>
      <c r="X121" s="1141"/>
      <c r="Y121" s="1145"/>
      <c r="Z121" s="1126"/>
      <c r="AA121" s="1133"/>
      <c r="AB121" s="1126"/>
      <c r="AC121" s="1126"/>
      <c r="AD121" s="1126"/>
    </row>
    <row r="122" customFormat="false" ht="9" hidden="false" customHeight="true" outlineLevel="0" collapsed="false">
      <c r="A122" s="1143"/>
      <c r="B122" s="1143"/>
      <c r="C122" s="1141"/>
      <c r="D122" s="1141"/>
      <c r="E122" s="1141"/>
      <c r="F122" s="1141"/>
      <c r="G122" s="1141"/>
      <c r="H122" s="1159"/>
      <c r="I122" s="1159"/>
      <c r="J122" s="1159"/>
      <c r="K122" s="1159"/>
      <c r="L122" s="1159"/>
      <c r="M122" s="1141"/>
      <c r="N122" s="1164"/>
      <c r="O122" s="1157"/>
      <c r="P122" s="1157"/>
      <c r="Q122" s="1157"/>
      <c r="R122" s="1157"/>
      <c r="S122" s="1141"/>
      <c r="T122" s="1141"/>
      <c r="U122" s="1141"/>
      <c r="V122" s="1141"/>
      <c r="W122" s="1141"/>
      <c r="X122" s="1141"/>
      <c r="Y122" s="1145"/>
      <c r="Z122" s="1126"/>
      <c r="AA122" s="1133"/>
      <c r="AB122" s="1126"/>
      <c r="AC122" s="1126"/>
      <c r="AD122" s="1126"/>
    </row>
    <row r="123" customFormat="false" ht="9" hidden="false" customHeight="true" outlineLevel="0" collapsed="false">
      <c r="A123" s="1143"/>
      <c r="B123" s="1143"/>
      <c r="C123" s="1141"/>
      <c r="D123" s="1141"/>
      <c r="E123" s="1141"/>
      <c r="F123" s="1141"/>
      <c r="G123" s="1141"/>
      <c r="H123" s="1159"/>
      <c r="I123" s="1159"/>
      <c r="J123" s="1159"/>
      <c r="K123" s="1159"/>
      <c r="L123" s="1159"/>
      <c r="M123" s="1141"/>
      <c r="N123" s="1164"/>
      <c r="O123" s="1157"/>
      <c r="P123" s="1157"/>
      <c r="Q123" s="1157"/>
      <c r="R123" s="1157"/>
      <c r="S123" s="1141"/>
      <c r="T123" s="1141"/>
      <c r="U123" s="1141"/>
      <c r="V123" s="1141"/>
      <c r="W123" s="1141"/>
      <c r="X123" s="1141"/>
      <c r="Y123" s="1145"/>
      <c r="Z123" s="1126"/>
      <c r="AA123" s="1133"/>
      <c r="AB123" s="1126"/>
      <c r="AC123" s="1126"/>
      <c r="AD123" s="1126"/>
    </row>
    <row r="124" customFormat="false" ht="9" hidden="false" customHeight="true" outlineLevel="0" collapsed="false">
      <c r="A124" s="1143"/>
      <c r="B124" s="1143"/>
      <c r="C124" s="1141"/>
      <c r="D124" s="1141"/>
      <c r="E124" s="1141"/>
      <c r="F124" s="1141"/>
      <c r="G124" s="1141"/>
      <c r="H124" s="1159"/>
      <c r="I124" s="1159"/>
      <c r="J124" s="1159"/>
      <c r="K124" s="1159"/>
      <c r="L124" s="1159"/>
      <c r="M124" s="1141"/>
      <c r="N124" s="1164"/>
      <c r="O124" s="1157"/>
      <c r="P124" s="1157"/>
      <c r="Q124" s="1157"/>
      <c r="R124" s="1157"/>
      <c r="S124" s="1141"/>
      <c r="T124" s="1141"/>
      <c r="U124" s="1141"/>
      <c r="V124" s="1141"/>
      <c r="W124" s="1141"/>
      <c r="X124" s="1141"/>
      <c r="Y124" s="1145"/>
      <c r="Z124" s="1126"/>
      <c r="AA124" s="1133"/>
      <c r="AB124" s="1126"/>
      <c r="AC124" s="1126"/>
      <c r="AD124" s="1126"/>
    </row>
    <row r="125" customFormat="false" ht="9" hidden="false" customHeight="true" outlineLevel="0" collapsed="false">
      <c r="A125" s="1143"/>
      <c r="B125" s="1143"/>
      <c r="C125" s="1141"/>
      <c r="D125" s="1141"/>
      <c r="E125" s="1141"/>
      <c r="F125" s="1141"/>
      <c r="G125" s="1141"/>
      <c r="H125" s="1159"/>
      <c r="I125" s="1159"/>
      <c r="J125" s="1159"/>
      <c r="K125" s="1159"/>
      <c r="L125" s="1159"/>
      <c r="M125" s="1141"/>
      <c r="N125" s="1164"/>
      <c r="O125" s="1157"/>
      <c r="P125" s="1157"/>
      <c r="Q125" s="1157"/>
      <c r="R125" s="1157"/>
      <c r="S125" s="1141"/>
      <c r="T125" s="1141"/>
      <c r="U125" s="1141"/>
      <c r="V125" s="1141"/>
      <c r="W125" s="1141"/>
      <c r="X125" s="1141"/>
      <c r="Y125" s="1145"/>
      <c r="Z125" s="1126"/>
      <c r="AA125" s="1133"/>
      <c r="AB125" s="1126"/>
      <c r="AC125" s="1126"/>
      <c r="AD125" s="1126"/>
    </row>
    <row r="126" customFormat="false" ht="9" hidden="false" customHeight="true" outlineLevel="0" collapsed="false">
      <c r="A126" s="1143"/>
      <c r="B126" s="1143"/>
      <c r="C126" s="1141"/>
      <c r="D126" s="1141"/>
      <c r="E126" s="1141"/>
      <c r="F126" s="1141"/>
      <c r="G126" s="1141"/>
      <c r="H126" s="1159"/>
      <c r="I126" s="1159"/>
      <c r="J126" s="1159"/>
      <c r="K126" s="1159"/>
      <c r="L126" s="1159"/>
      <c r="M126" s="1141"/>
      <c r="N126" s="1164"/>
      <c r="O126" s="1157"/>
      <c r="P126" s="1157"/>
      <c r="Q126" s="1157"/>
      <c r="R126" s="1157"/>
      <c r="S126" s="1141"/>
      <c r="T126" s="1141"/>
      <c r="U126" s="1141"/>
      <c r="V126" s="1141"/>
      <c r="W126" s="1141"/>
      <c r="X126" s="1141"/>
      <c r="Y126" s="1145"/>
      <c r="Z126" s="1126"/>
      <c r="AA126" s="1133"/>
      <c r="AB126" s="1126"/>
      <c r="AC126" s="1126"/>
      <c r="AD126" s="1126"/>
    </row>
    <row r="127" customFormat="false" ht="9" hidden="false" customHeight="true" outlineLevel="0" collapsed="false">
      <c r="A127" s="1143"/>
      <c r="B127" s="1143"/>
      <c r="C127" s="1141"/>
      <c r="D127" s="1141"/>
      <c r="E127" s="1141"/>
      <c r="F127" s="1141"/>
      <c r="G127" s="1141"/>
      <c r="H127" s="1159"/>
      <c r="I127" s="1159"/>
      <c r="J127" s="1159"/>
      <c r="K127" s="1159"/>
      <c r="L127" s="1159"/>
      <c r="M127" s="1141"/>
      <c r="N127" s="1164"/>
      <c r="O127" s="1157"/>
      <c r="P127" s="1157"/>
      <c r="Q127" s="1157"/>
      <c r="R127" s="1157"/>
      <c r="S127" s="1141"/>
      <c r="T127" s="1141"/>
      <c r="U127" s="1141"/>
      <c r="V127" s="1141"/>
      <c r="W127" s="1141"/>
      <c r="X127" s="1141"/>
      <c r="Y127" s="1145"/>
      <c r="Z127" s="1126"/>
      <c r="AA127" s="1133"/>
      <c r="AB127" s="1126"/>
      <c r="AC127" s="1126"/>
      <c r="AD127" s="1126"/>
    </row>
    <row r="128" customFormat="false" ht="9" hidden="false" customHeight="true" outlineLevel="0" collapsed="false">
      <c r="A128" s="1143"/>
      <c r="B128" s="1143"/>
      <c r="C128" s="1141"/>
      <c r="D128" s="1141"/>
      <c r="E128" s="1141"/>
      <c r="F128" s="1141"/>
      <c r="G128" s="1141"/>
      <c r="H128" s="1159"/>
      <c r="I128" s="1159"/>
      <c r="J128" s="1159"/>
      <c r="K128" s="1159"/>
      <c r="L128" s="1159"/>
      <c r="M128" s="1141"/>
      <c r="N128" s="1164"/>
      <c r="O128" s="1157"/>
      <c r="P128" s="1157"/>
      <c r="Q128" s="1157"/>
      <c r="R128" s="1157"/>
      <c r="S128" s="1141"/>
      <c r="T128" s="1141"/>
      <c r="U128" s="1141"/>
      <c r="V128" s="1141"/>
      <c r="W128" s="1141"/>
      <c r="X128" s="1141"/>
      <c r="Y128" s="1145"/>
      <c r="Z128" s="1126"/>
      <c r="AA128" s="1133"/>
      <c r="AB128" s="1126"/>
      <c r="AC128" s="1126"/>
      <c r="AD128" s="1126"/>
    </row>
    <row r="129" customFormat="false" ht="9" hidden="false" customHeight="true" outlineLevel="0" collapsed="false">
      <c r="A129" s="1143"/>
      <c r="B129" s="1143"/>
      <c r="C129" s="1141"/>
      <c r="D129" s="1141"/>
      <c r="E129" s="1141"/>
      <c r="F129" s="1141"/>
      <c r="G129" s="1141"/>
      <c r="H129" s="1159"/>
      <c r="I129" s="1159"/>
      <c r="J129" s="1159"/>
      <c r="K129" s="1159"/>
      <c r="L129" s="1159"/>
      <c r="M129" s="1141"/>
      <c r="N129" s="1164"/>
      <c r="O129" s="1157"/>
      <c r="P129" s="1157"/>
      <c r="Q129" s="1157"/>
      <c r="R129" s="1157"/>
      <c r="S129" s="1141"/>
      <c r="T129" s="1141"/>
      <c r="U129" s="1141"/>
      <c r="V129" s="1141"/>
      <c r="W129" s="1141"/>
      <c r="X129" s="1141"/>
      <c r="Y129" s="1145"/>
      <c r="Z129" s="1126"/>
      <c r="AA129" s="1133"/>
      <c r="AB129" s="1126"/>
      <c r="AC129" s="1126"/>
      <c r="AD129" s="1126"/>
    </row>
    <row r="130" customFormat="false" ht="9" hidden="false" customHeight="true" outlineLevel="0" collapsed="false">
      <c r="A130" s="1143"/>
      <c r="B130" s="1143"/>
      <c r="C130" s="1141"/>
      <c r="D130" s="1141"/>
      <c r="E130" s="1141"/>
      <c r="F130" s="1141"/>
      <c r="G130" s="1141"/>
      <c r="H130" s="1159"/>
      <c r="I130" s="1159"/>
      <c r="J130" s="1159"/>
      <c r="K130" s="1159"/>
      <c r="L130" s="1159"/>
      <c r="M130" s="1141"/>
      <c r="N130" s="1164"/>
      <c r="O130" s="1165"/>
      <c r="P130" s="1165"/>
      <c r="Q130" s="1165"/>
      <c r="R130" s="1165"/>
      <c r="S130" s="1141"/>
      <c r="T130" s="1141"/>
      <c r="U130" s="1141"/>
      <c r="V130" s="1141"/>
      <c r="W130" s="1141"/>
      <c r="X130" s="1141"/>
      <c r="Y130" s="1145"/>
      <c r="Z130" s="1126"/>
      <c r="AA130" s="1133"/>
      <c r="AB130" s="1126"/>
      <c r="AC130" s="1126"/>
      <c r="AD130" s="1126"/>
    </row>
    <row r="131" customFormat="false" ht="9" hidden="false" customHeight="true" outlineLevel="0" collapsed="false">
      <c r="A131" s="1143"/>
      <c r="B131" s="1143"/>
      <c r="C131" s="1141"/>
      <c r="D131" s="1141"/>
      <c r="E131" s="1141"/>
      <c r="F131" s="1141"/>
      <c r="G131" s="1141"/>
      <c r="H131" s="1159"/>
      <c r="I131" s="1159"/>
      <c r="J131" s="1159"/>
      <c r="K131" s="1159"/>
      <c r="L131" s="1159"/>
      <c r="M131" s="1141"/>
      <c r="N131" s="1164"/>
      <c r="O131" s="1166"/>
      <c r="P131" s="1166"/>
      <c r="Q131" s="1166"/>
      <c r="R131" s="1166"/>
      <c r="S131" s="1141"/>
      <c r="T131" s="1141"/>
      <c r="U131" s="1141"/>
      <c r="V131" s="1141"/>
      <c r="W131" s="1141"/>
      <c r="X131" s="1141"/>
      <c r="Y131" s="1145"/>
      <c r="Z131" s="1126"/>
      <c r="AA131" s="1133"/>
      <c r="AB131" s="1126"/>
      <c r="AC131" s="1126"/>
      <c r="AD131" s="1126"/>
    </row>
    <row r="132" customFormat="false" ht="9" hidden="false" customHeight="true" outlineLevel="0" collapsed="false">
      <c r="A132" s="1143"/>
      <c r="B132" s="1143"/>
      <c r="C132" s="1141"/>
      <c r="D132" s="1141"/>
      <c r="E132" s="1141"/>
      <c r="F132" s="1141"/>
      <c r="G132" s="1141"/>
      <c r="H132" s="1159"/>
      <c r="I132" s="1159"/>
      <c r="J132" s="1159"/>
      <c r="K132" s="1159"/>
      <c r="L132" s="1159"/>
      <c r="M132" s="1141"/>
      <c r="N132" s="1164"/>
      <c r="O132" s="1165"/>
      <c r="P132" s="1165"/>
      <c r="Q132" s="1165"/>
      <c r="R132" s="1165"/>
      <c r="S132" s="1141"/>
      <c r="T132" s="1141"/>
      <c r="U132" s="1141"/>
      <c r="V132" s="1141"/>
      <c r="W132" s="1141"/>
      <c r="X132" s="1141"/>
      <c r="Y132" s="1145"/>
      <c r="Z132" s="1126"/>
      <c r="AA132" s="1133"/>
      <c r="AB132" s="1126"/>
      <c r="AC132" s="1126"/>
      <c r="AD132" s="1126"/>
    </row>
    <row r="133" customFormat="false" ht="9" hidden="false" customHeight="true" outlineLevel="0" collapsed="false">
      <c r="A133" s="1143"/>
      <c r="B133" s="1143"/>
      <c r="C133" s="1141"/>
      <c r="D133" s="1141"/>
      <c r="E133" s="1141"/>
      <c r="F133" s="1141"/>
      <c r="G133" s="1141"/>
      <c r="H133" s="1159"/>
      <c r="I133" s="1159"/>
      <c r="J133" s="1159"/>
      <c r="K133" s="1159"/>
      <c r="L133" s="1159"/>
      <c r="M133" s="1141"/>
      <c r="N133" s="1164"/>
      <c r="O133" s="1166"/>
      <c r="P133" s="1166"/>
      <c r="Q133" s="1166"/>
      <c r="R133" s="1166"/>
      <c r="S133" s="1141"/>
      <c r="T133" s="1141"/>
      <c r="U133" s="1141"/>
      <c r="V133" s="1141"/>
      <c r="W133" s="1141"/>
      <c r="X133" s="1141"/>
      <c r="Y133" s="1145"/>
      <c r="Z133" s="1126"/>
      <c r="AA133" s="1133"/>
      <c r="AB133" s="1126"/>
      <c r="AC133" s="1126"/>
      <c r="AD133" s="1126"/>
    </row>
    <row r="134" customFormat="false" ht="9" hidden="false" customHeight="true" outlineLevel="0" collapsed="false">
      <c r="A134" s="1143"/>
      <c r="B134" s="1143"/>
      <c r="C134" s="1141"/>
      <c r="D134" s="1141"/>
      <c r="E134" s="1141"/>
      <c r="F134" s="1141"/>
      <c r="G134" s="1141"/>
      <c r="H134" s="1159"/>
      <c r="I134" s="1159"/>
      <c r="J134" s="1159"/>
      <c r="K134" s="1159"/>
      <c r="L134" s="1159"/>
      <c r="M134" s="1141"/>
      <c r="N134" s="1164"/>
      <c r="O134" s="1157"/>
      <c r="P134" s="1157"/>
      <c r="Q134" s="1157"/>
      <c r="R134" s="1157"/>
      <c r="S134" s="1141"/>
      <c r="T134" s="1141"/>
      <c r="U134" s="1141"/>
      <c r="V134" s="1141"/>
      <c r="W134" s="1141"/>
      <c r="X134" s="1141"/>
      <c r="Y134" s="1145"/>
      <c r="Z134" s="1126"/>
      <c r="AA134" s="1133"/>
      <c r="AB134" s="1126"/>
      <c r="AC134" s="1126"/>
      <c r="AD134" s="1126"/>
    </row>
    <row r="135" customFormat="false" ht="9" hidden="false" customHeight="true" outlineLevel="0" collapsed="false">
      <c r="A135" s="1143"/>
      <c r="B135" s="1143"/>
      <c r="C135" s="1141"/>
      <c r="D135" s="1141"/>
      <c r="E135" s="1141"/>
      <c r="F135" s="1141"/>
      <c r="G135" s="1141"/>
      <c r="H135" s="1159"/>
      <c r="I135" s="1159"/>
      <c r="J135" s="1159"/>
      <c r="K135" s="1159"/>
      <c r="L135" s="1159"/>
      <c r="M135" s="1141"/>
      <c r="N135" s="1164"/>
      <c r="O135" s="1157"/>
      <c r="P135" s="1157"/>
      <c r="Q135" s="1157"/>
      <c r="R135" s="1157"/>
      <c r="S135" s="1141"/>
      <c r="T135" s="1141"/>
      <c r="U135" s="1141"/>
      <c r="V135" s="1141"/>
      <c r="W135" s="1141"/>
      <c r="X135" s="1141"/>
      <c r="Y135" s="1145"/>
      <c r="Z135" s="1126"/>
      <c r="AA135" s="1133"/>
      <c r="AB135" s="1126"/>
      <c r="AC135" s="1126"/>
      <c r="AD135" s="1126"/>
    </row>
    <row r="136" customFormat="false" ht="9" hidden="false" customHeight="true" outlineLevel="0" collapsed="false">
      <c r="A136" s="1143"/>
      <c r="B136" s="1143"/>
      <c r="C136" s="1141"/>
      <c r="D136" s="1141"/>
      <c r="E136" s="1141"/>
      <c r="F136" s="1141"/>
      <c r="G136" s="1141"/>
      <c r="H136" s="1159"/>
      <c r="I136" s="1159"/>
      <c r="J136" s="1159"/>
      <c r="K136" s="1159"/>
      <c r="L136" s="1159"/>
      <c r="M136" s="1141"/>
      <c r="N136" s="1164"/>
      <c r="O136" s="1157"/>
      <c r="P136" s="1157"/>
      <c r="Q136" s="1157"/>
      <c r="R136" s="1157"/>
      <c r="S136" s="1141"/>
      <c r="T136" s="1141"/>
      <c r="U136" s="1141"/>
      <c r="V136" s="1141"/>
      <c r="W136" s="1141"/>
      <c r="X136" s="1141"/>
      <c r="Y136" s="1145"/>
      <c r="Z136" s="1126"/>
      <c r="AA136" s="1133"/>
      <c r="AB136" s="1126"/>
      <c r="AC136" s="1126"/>
      <c r="AD136" s="1126"/>
    </row>
    <row r="137" customFormat="false" ht="9" hidden="false" customHeight="true" outlineLevel="0" collapsed="false">
      <c r="A137" s="1143"/>
      <c r="B137" s="1143"/>
      <c r="C137" s="1141"/>
      <c r="D137" s="1141"/>
      <c r="E137" s="1141"/>
      <c r="F137" s="1141"/>
      <c r="G137" s="1141"/>
      <c r="H137" s="1159"/>
      <c r="I137" s="1159"/>
      <c r="J137" s="1159"/>
      <c r="K137" s="1159"/>
      <c r="L137" s="1159"/>
      <c r="M137" s="1141"/>
      <c r="N137" s="1164"/>
      <c r="O137" s="1167"/>
      <c r="P137" s="1167"/>
      <c r="Q137" s="1167"/>
      <c r="R137" s="1167"/>
      <c r="S137" s="1141"/>
      <c r="T137" s="1141"/>
      <c r="U137" s="1141"/>
      <c r="V137" s="1141"/>
      <c r="W137" s="1141"/>
      <c r="X137" s="1141"/>
      <c r="Y137" s="1145"/>
      <c r="Z137" s="1126"/>
      <c r="AA137" s="1133"/>
      <c r="AB137" s="1126"/>
      <c r="AC137" s="1126"/>
      <c r="AD137" s="1126"/>
    </row>
    <row r="138" customFormat="false" ht="9" hidden="false" customHeight="true" outlineLevel="0" collapsed="false">
      <c r="A138" s="1143"/>
      <c r="B138" s="1143"/>
      <c r="C138" s="1141"/>
      <c r="D138" s="1141"/>
      <c r="E138" s="1141"/>
      <c r="F138" s="1141"/>
      <c r="G138" s="1141"/>
      <c r="H138" s="1159"/>
      <c r="I138" s="1159"/>
      <c r="J138" s="1159"/>
      <c r="K138" s="1159"/>
      <c r="L138" s="1159"/>
      <c r="M138" s="1141"/>
      <c r="N138" s="1164"/>
      <c r="O138" s="1160"/>
      <c r="P138" s="1160"/>
      <c r="Q138" s="1160"/>
      <c r="R138" s="1160"/>
      <c r="S138" s="1141"/>
      <c r="T138" s="1141"/>
      <c r="U138" s="1141"/>
      <c r="V138" s="1141"/>
      <c r="W138" s="1141"/>
      <c r="X138" s="1141"/>
      <c r="Y138" s="1145"/>
      <c r="Z138" s="1126"/>
      <c r="AA138" s="1133"/>
      <c r="AB138" s="1126"/>
      <c r="AC138" s="1126"/>
      <c r="AD138" s="1126"/>
    </row>
    <row r="139" customFormat="false" ht="9" hidden="false" customHeight="true" outlineLevel="0" collapsed="false">
      <c r="A139" s="1143"/>
      <c r="B139" s="1143"/>
      <c r="C139" s="1141"/>
      <c r="D139" s="1141"/>
      <c r="E139" s="1141"/>
      <c r="F139" s="1141"/>
      <c r="G139" s="1141"/>
      <c r="H139" s="1159"/>
      <c r="I139" s="1159"/>
      <c r="J139" s="1159"/>
      <c r="K139" s="1159"/>
      <c r="L139" s="1159"/>
      <c r="M139" s="1141"/>
      <c r="N139" s="1164"/>
      <c r="O139" s="1141"/>
      <c r="P139" s="1141"/>
      <c r="Q139" s="1141"/>
      <c r="R139" s="1141"/>
      <c r="S139" s="1141"/>
      <c r="T139" s="1141"/>
      <c r="U139" s="1141"/>
      <c r="V139" s="1141"/>
      <c r="W139" s="1141"/>
      <c r="X139" s="1141"/>
      <c r="Y139" s="1145"/>
      <c r="Z139" s="1126"/>
      <c r="AA139" s="1133"/>
      <c r="AB139" s="1126"/>
      <c r="AC139" s="1126"/>
      <c r="AD139" s="1126"/>
    </row>
    <row r="140" customFormat="false" ht="9" hidden="false" customHeight="true" outlineLevel="0" collapsed="false">
      <c r="A140" s="1143"/>
      <c r="B140" s="1143"/>
      <c r="C140" s="1141"/>
      <c r="D140" s="1141"/>
      <c r="E140" s="1141"/>
      <c r="F140" s="1141"/>
      <c r="G140" s="1141"/>
      <c r="H140" s="1159"/>
      <c r="I140" s="1159"/>
      <c r="J140" s="1159"/>
      <c r="K140" s="1159"/>
      <c r="L140" s="1159"/>
      <c r="M140" s="1141"/>
      <c r="N140" s="1164"/>
      <c r="O140" s="1141"/>
      <c r="P140" s="1141"/>
      <c r="Q140" s="1141"/>
      <c r="R140" s="1141"/>
      <c r="S140" s="1141"/>
      <c r="T140" s="1141"/>
      <c r="U140" s="1141"/>
      <c r="V140" s="1141"/>
      <c r="W140" s="1141"/>
      <c r="X140" s="1141"/>
      <c r="Y140" s="1145"/>
      <c r="Z140" s="1126"/>
      <c r="AA140" s="1133"/>
      <c r="AB140" s="1126"/>
      <c r="AC140" s="1126"/>
      <c r="AD140" s="1126"/>
    </row>
    <row r="141" customFormat="false" ht="9" hidden="false" customHeight="true" outlineLevel="0" collapsed="false">
      <c r="A141" s="1143"/>
      <c r="B141" s="1143"/>
      <c r="C141" s="1141"/>
      <c r="D141" s="1141"/>
      <c r="E141" s="1141"/>
      <c r="F141" s="1141"/>
      <c r="G141" s="1141"/>
      <c r="H141" s="1159"/>
      <c r="I141" s="1159"/>
      <c r="J141" s="1159"/>
      <c r="K141" s="1159"/>
      <c r="L141" s="1159"/>
      <c r="M141" s="1141"/>
      <c r="N141" s="1164"/>
      <c r="O141" s="1141"/>
      <c r="P141" s="1141"/>
      <c r="Q141" s="1141"/>
      <c r="R141" s="1141"/>
      <c r="S141" s="1141"/>
      <c r="T141" s="1141"/>
      <c r="U141" s="1141"/>
      <c r="V141" s="1141"/>
      <c r="W141" s="1141"/>
      <c r="X141" s="1141"/>
      <c r="Y141" s="1145"/>
      <c r="Z141" s="1126"/>
      <c r="AA141" s="1133"/>
      <c r="AB141" s="1126"/>
      <c r="AC141" s="1126"/>
      <c r="AD141" s="1126"/>
    </row>
    <row r="142" customFormat="false" ht="9" hidden="false" customHeight="true" outlineLevel="0" collapsed="false">
      <c r="A142" s="1143"/>
      <c r="B142" s="1143"/>
      <c r="C142" s="1141"/>
      <c r="D142" s="1141"/>
      <c r="E142" s="1141"/>
      <c r="F142" s="1141"/>
      <c r="G142" s="1141"/>
      <c r="H142" s="1159"/>
      <c r="I142" s="1159"/>
      <c r="J142" s="1159"/>
      <c r="K142" s="1159"/>
      <c r="L142" s="1159"/>
      <c r="M142" s="1141"/>
      <c r="N142" s="1164"/>
      <c r="O142" s="1141"/>
      <c r="P142" s="1141"/>
      <c r="Q142" s="1141"/>
      <c r="R142" s="1141"/>
      <c r="S142" s="1141"/>
      <c r="T142" s="1141"/>
      <c r="U142" s="1141"/>
      <c r="V142" s="1141"/>
      <c r="W142" s="1141"/>
      <c r="X142" s="1141"/>
      <c r="Y142" s="1145"/>
      <c r="Z142" s="1126"/>
      <c r="AA142" s="1133"/>
      <c r="AB142" s="1126"/>
      <c r="AC142" s="1126"/>
      <c r="AD142" s="1126"/>
    </row>
    <row r="143" customFormat="false" ht="9" hidden="false" customHeight="true" outlineLevel="0" collapsed="false">
      <c r="A143" s="1143"/>
      <c r="B143" s="1143"/>
      <c r="C143" s="1141"/>
      <c r="D143" s="1141"/>
      <c r="E143" s="1141"/>
      <c r="F143" s="1141"/>
      <c r="G143" s="1141"/>
      <c r="H143" s="1159"/>
      <c r="I143" s="1159"/>
      <c r="J143" s="1159"/>
      <c r="K143" s="1159"/>
      <c r="L143" s="1159"/>
      <c r="M143" s="1141"/>
      <c r="N143" s="1164"/>
      <c r="O143" s="1141"/>
      <c r="P143" s="1141"/>
      <c r="Q143" s="1141"/>
      <c r="R143" s="1141"/>
      <c r="S143" s="1141"/>
      <c r="T143" s="1141"/>
      <c r="U143" s="1141"/>
      <c r="V143" s="1141"/>
      <c r="W143" s="1141"/>
      <c r="X143" s="1141"/>
      <c r="Y143" s="1145"/>
      <c r="Z143" s="1126"/>
      <c r="AA143" s="1133"/>
      <c r="AB143" s="1126"/>
      <c r="AC143" s="1126"/>
      <c r="AD143" s="1126"/>
    </row>
    <row r="144" customFormat="false" ht="9" hidden="false" customHeight="true" outlineLevel="0" collapsed="false">
      <c r="A144" s="1143"/>
      <c r="B144" s="1143"/>
      <c r="C144" s="1141"/>
      <c r="D144" s="1141"/>
      <c r="E144" s="1141"/>
      <c r="F144" s="1141"/>
      <c r="G144" s="1141"/>
      <c r="H144" s="1159"/>
      <c r="I144" s="1159"/>
      <c r="J144" s="1159"/>
      <c r="K144" s="1159"/>
      <c r="L144" s="1159"/>
      <c r="M144" s="1141"/>
      <c r="N144" s="1164"/>
      <c r="O144" s="1141"/>
      <c r="P144" s="1141"/>
      <c r="Q144" s="1141"/>
      <c r="R144" s="1141"/>
      <c r="S144" s="1141"/>
      <c r="T144" s="1141"/>
      <c r="U144" s="1141"/>
      <c r="V144" s="1141"/>
      <c r="W144" s="1141"/>
      <c r="X144" s="1141"/>
      <c r="Y144" s="1145"/>
      <c r="Z144" s="1126"/>
      <c r="AA144" s="1133"/>
      <c r="AB144" s="1126"/>
      <c r="AC144" s="1126"/>
      <c r="AD144" s="1126"/>
    </row>
    <row r="145" customFormat="false" ht="9" hidden="false" customHeight="true" outlineLevel="0" collapsed="false">
      <c r="A145" s="1143"/>
      <c r="B145" s="1143"/>
      <c r="C145" s="1141"/>
      <c r="D145" s="1141"/>
      <c r="E145" s="1141"/>
      <c r="F145" s="1141"/>
      <c r="G145" s="1141"/>
      <c r="H145" s="1159"/>
      <c r="I145" s="1159"/>
      <c r="J145" s="1159"/>
      <c r="K145" s="1159"/>
      <c r="L145" s="1159"/>
      <c r="M145" s="1141"/>
      <c r="N145" s="1164"/>
      <c r="O145" s="1141"/>
      <c r="P145" s="1141"/>
      <c r="Q145" s="1141"/>
      <c r="R145" s="1141"/>
      <c r="S145" s="1141"/>
      <c r="T145" s="1141"/>
      <c r="U145" s="1141"/>
      <c r="V145" s="1141"/>
      <c r="W145" s="1141"/>
      <c r="X145" s="1141"/>
      <c r="Y145" s="1145"/>
      <c r="Z145" s="1126"/>
      <c r="AA145" s="1133"/>
      <c r="AB145" s="1126"/>
      <c r="AC145" s="1126"/>
      <c r="AD145" s="1126"/>
    </row>
    <row r="146" customFormat="false" ht="9" hidden="false" customHeight="true" outlineLevel="0" collapsed="false">
      <c r="A146" s="1143"/>
      <c r="B146" s="1143"/>
      <c r="C146" s="1141"/>
      <c r="D146" s="1141"/>
      <c r="E146" s="1141"/>
      <c r="F146" s="1141"/>
      <c r="G146" s="1141"/>
      <c r="H146" s="1159"/>
      <c r="I146" s="1159"/>
      <c r="J146" s="1159"/>
      <c r="K146" s="1159"/>
      <c r="L146" s="1159"/>
      <c r="M146" s="1141"/>
      <c r="N146" s="1164"/>
      <c r="O146" s="1141"/>
      <c r="P146" s="1141"/>
      <c r="Q146" s="1141"/>
      <c r="R146" s="1141"/>
      <c r="S146" s="1141"/>
      <c r="T146" s="1141"/>
      <c r="U146" s="1141"/>
      <c r="V146" s="1141"/>
      <c r="W146" s="1141"/>
      <c r="X146" s="1141"/>
      <c r="Y146" s="1145"/>
      <c r="Z146" s="1126"/>
      <c r="AA146" s="1133"/>
      <c r="AB146" s="1126"/>
      <c r="AC146" s="1126"/>
      <c r="AD146" s="1126"/>
    </row>
    <row r="147" customFormat="false" ht="9" hidden="false" customHeight="true" outlineLevel="0" collapsed="false">
      <c r="A147" s="1143"/>
      <c r="B147" s="1143"/>
      <c r="C147" s="1143"/>
      <c r="D147" s="1143"/>
      <c r="E147" s="1143"/>
      <c r="F147" s="1143"/>
      <c r="G147" s="1143"/>
      <c r="H147" s="1143"/>
      <c r="I147" s="1143"/>
      <c r="J147" s="1143"/>
      <c r="K147" s="1143"/>
      <c r="L147" s="1143"/>
      <c r="M147" s="1143"/>
      <c r="N147" s="1143"/>
      <c r="O147" s="1143"/>
      <c r="P147" s="1143"/>
      <c r="Q147" s="1143"/>
      <c r="R147" s="1143"/>
      <c r="S147" s="1143"/>
      <c r="T147" s="1143"/>
      <c r="U147" s="1143"/>
      <c r="V147" s="1143"/>
      <c r="W147" s="1143"/>
      <c r="X147" s="1143"/>
      <c r="Y147" s="1143"/>
      <c r="Z147" s="1143"/>
      <c r="AA147" s="1143"/>
      <c r="AB147" s="1143"/>
      <c r="AC147" s="1143"/>
      <c r="AD147" s="1143"/>
    </row>
    <row r="148" customFormat="false" ht="90" hidden="false" customHeight="true" outlineLevel="0" collapsed="false">
      <c r="A148" s="1143" t="s">
        <v>1596</v>
      </c>
      <c r="B148" s="1143"/>
      <c r="C148" s="1141" t="s">
        <v>2166</v>
      </c>
      <c r="D148" s="1141" t="s">
        <v>1498</v>
      </c>
      <c r="E148" s="1141" t="s">
        <v>1598</v>
      </c>
      <c r="F148" s="1141" t="s">
        <v>2167</v>
      </c>
      <c r="G148" s="1141"/>
      <c r="H148" s="1141"/>
      <c r="I148" s="1168"/>
      <c r="J148" s="1168"/>
      <c r="K148" s="1168"/>
      <c r="L148" s="1168"/>
      <c r="M148" s="1169" t="str">
        <f aca="false">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151"/>
      <c r="O148" s="1141"/>
      <c r="P148" s="1144"/>
      <c r="Q148" s="1144"/>
      <c r="R148" s="1144"/>
      <c r="S148" s="1141"/>
      <c r="T148" s="1141" t="s">
        <v>2168</v>
      </c>
      <c r="U148" s="1144"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144"/>
      <c r="W148" s="1144"/>
      <c r="X148" s="1141" t="s">
        <v>2169</v>
      </c>
      <c r="Y148" s="1145"/>
      <c r="Z148" s="1126"/>
      <c r="AA148" s="1133"/>
      <c r="AB148" s="1126"/>
      <c r="AC148" s="1126"/>
      <c r="AD148" s="1126"/>
    </row>
    <row r="149" customFormat="false" ht="9" hidden="false" customHeight="true" outlineLevel="0" collapsed="false">
      <c r="A149" s="1143"/>
      <c r="B149" s="1143"/>
      <c r="C149" s="1143"/>
      <c r="D149" s="1143"/>
      <c r="E149" s="1143"/>
      <c r="F149" s="1143"/>
      <c r="G149" s="1143"/>
      <c r="H149" s="1143"/>
      <c r="I149" s="1143"/>
      <c r="J149" s="1143"/>
      <c r="K149" s="1143"/>
      <c r="L149" s="1143"/>
      <c r="M149" s="1143"/>
      <c r="N149" s="1143"/>
      <c r="O149" s="1143"/>
      <c r="P149" s="1143"/>
      <c r="Q149" s="1143"/>
      <c r="R149" s="1143"/>
      <c r="S149" s="1143"/>
      <c r="T149" s="1143"/>
      <c r="U149" s="1143"/>
      <c r="V149" s="1143"/>
      <c r="W149" s="1143"/>
      <c r="X149" s="1143"/>
      <c r="Y149" s="1143"/>
      <c r="Z149" s="1143"/>
      <c r="AA149" s="1143"/>
      <c r="AB149" s="1143"/>
      <c r="AC149" s="1143"/>
      <c r="AD149" s="1143"/>
    </row>
    <row r="150" customFormat="false" ht="9" hidden="false" customHeight="true" outlineLevel="0" collapsed="false">
      <c r="A150" s="1143" t="s">
        <v>1600</v>
      </c>
      <c r="B150" s="1143"/>
      <c r="C150" s="1141"/>
      <c r="D150" s="1141"/>
      <c r="E150" s="1141"/>
      <c r="F150" s="1141"/>
      <c r="G150" s="1141"/>
      <c r="H150" s="1141"/>
      <c r="I150" s="1141"/>
      <c r="J150" s="1141"/>
      <c r="K150" s="1141"/>
      <c r="L150" s="1141"/>
      <c r="M150" s="1141"/>
      <c r="N150" s="1141"/>
      <c r="O150" s="1141"/>
      <c r="P150" s="1141"/>
      <c r="Q150" s="1141"/>
      <c r="R150" s="1141"/>
      <c r="S150" s="1141"/>
      <c r="T150" s="1141"/>
      <c r="U150" s="1141"/>
      <c r="V150" s="1141"/>
      <c r="W150" s="1141"/>
      <c r="X150" s="1141"/>
      <c r="Y150" s="1145"/>
      <c r="Z150" s="1126"/>
      <c r="AA150" s="1133"/>
      <c r="AB150" s="1126"/>
      <c r="AC150" s="1126"/>
      <c r="AD150" s="1126"/>
    </row>
    <row r="151" customFormat="false" ht="9" hidden="false" customHeight="true" outlineLevel="0" collapsed="false">
      <c r="A151" s="1143"/>
      <c r="B151" s="1143"/>
      <c r="C151" s="1143"/>
      <c r="D151" s="1143"/>
      <c r="E151" s="1143"/>
      <c r="F151" s="1143"/>
      <c r="G151" s="1143"/>
      <c r="H151" s="1143"/>
      <c r="I151" s="1143"/>
      <c r="J151" s="1143"/>
      <c r="K151" s="1143"/>
      <c r="L151" s="1143"/>
      <c r="M151" s="1143"/>
      <c r="N151" s="1143"/>
      <c r="O151" s="1143"/>
      <c r="P151" s="1143"/>
      <c r="Q151" s="1143"/>
      <c r="R151" s="1143"/>
      <c r="S151" s="1143"/>
      <c r="T151" s="1143"/>
      <c r="U151" s="1143"/>
      <c r="V151" s="1143"/>
      <c r="W151" s="1143"/>
      <c r="X151" s="1143"/>
      <c r="Y151" s="1143"/>
      <c r="Z151" s="1143"/>
      <c r="AA151" s="1143"/>
      <c r="AB151" s="1143"/>
      <c r="AC151" s="1143"/>
      <c r="AD151" s="1143"/>
    </row>
    <row r="152" customFormat="false" ht="9" hidden="false" customHeight="true" outlineLevel="0" collapsed="false">
      <c r="A152" s="1143" t="s">
        <v>1603</v>
      </c>
      <c r="B152" s="1143"/>
      <c r="C152" s="1141"/>
      <c r="D152" s="1141"/>
      <c r="E152" s="1141"/>
      <c r="F152" s="1141"/>
      <c r="G152" s="1141"/>
      <c r="H152" s="1141"/>
      <c r="I152" s="1141"/>
      <c r="J152" s="1141"/>
      <c r="K152" s="1141"/>
      <c r="L152" s="1141"/>
      <c r="M152" s="1141"/>
      <c r="N152" s="1141"/>
      <c r="O152" s="1141"/>
      <c r="P152" s="1141"/>
      <c r="Q152" s="1141"/>
      <c r="R152" s="1141"/>
      <c r="S152" s="1141"/>
      <c r="T152" s="1141"/>
      <c r="U152" s="1141"/>
      <c r="V152" s="1141"/>
      <c r="W152" s="1141"/>
      <c r="X152" s="1141"/>
      <c r="Y152" s="1145"/>
      <c r="Z152" s="1126"/>
      <c r="AA152" s="1133"/>
      <c r="AB152" s="1126"/>
      <c r="AC152" s="1126"/>
      <c r="AD152" s="1126"/>
    </row>
    <row r="153" customFormat="false" ht="9" hidden="false" customHeight="true" outlineLevel="0" collapsed="false">
      <c r="A153" s="1143"/>
      <c r="B153" s="1143"/>
      <c r="C153" s="1143"/>
      <c r="D153" s="1143"/>
      <c r="E153" s="1143"/>
      <c r="F153" s="1143"/>
      <c r="G153" s="1143"/>
      <c r="H153" s="1143"/>
      <c r="I153" s="1143"/>
      <c r="J153" s="1143"/>
      <c r="K153" s="1143"/>
      <c r="L153" s="1143"/>
      <c r="M153" s="1143"/>
      <c r="N153" s="1143"/>
      <c r="O153" s="1143"/>
      <c r="P153" s="1143"/>
      <c r="Q153" s="1143"/>
      <c r="R153" s="1143"/>
      <c r="S153" s="1143"/>
      <c r="T153" s="1143"/>
      <c r="U153" s="1143"/>
      <c r="V153" s="1143"/>
      <c r="W153" s="1143"/>
      <c r="X153" s="1143"/>
      <c r="Y153" s="1143"/>
      <c r="Z153" s="1143"/>
      <c r="AA153" s="1143"/>
      <c r="AB153" s="1143"/>
      <c r="AC153" s="1143"/>
      <c r="AD153" s="1143"/>
    </row>
    <row r="154" customFormat="false" ht="9" hidden="false" customHeight="true" outlineLevel="0" collapsed="false">
      <c r="A154" s="1143" t="s">
        <v>1608</v>
      </c>
      <c r="B154" s="1143"/>
      <c r="C154" s="1141"/>
      <c r="D154" s="1141"/>
      <c r="E154" s="1141"/>
      <c r="F154" s="1141"/>
      <c r="G154" s="1141"/>
      <c r="H154" s="1141"/>
      <c r="I154" s="1141"/>
      <c r="J154" s="1141"/>
      <c r="K154" s="1141"/>
      <c r="L154" s="1141"/>
      <c r="M154" s="1141"/>
      <c r="N154" s="1141"/>
      <c r="O154" s="1141"/>
      <c r="P154" s="1141"/>
      <c r="Q154" s="1141"/>
      <c r="R154" s="1141"/>
      <c r="S154" s="1141"/>
      <c r="T154" s="1141"/>
      <c r="U154" s="1141"/>
      <c r="V154" s="1141"/>
      <c r="W154" s="1141"/>
      <c r="X154" s="1141"/>
      <c r="Y154" s="1145"/>
      <c r="Z154" s="1126"/>
      <c r="AA154" s="1133"/>
      <c r="AB154" s="1126"/>
      <c r="AC154" s="1126"/>
      <c r="AD154" s="1126"/>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2.28"/>
    <col collapsed="false" customWidth="true" hidden="true" outlineLevel="0" max="8" min="6" style="51" width="12.28"/>
    <col collapsed="false" customWidth="true" hidden="false" outlineLevel="0" max="9" min="9" style="50" width="3.71"/>
    <col collapsed="false" customWidth="true" hidden="false" outlineLevel="0" max="11" min="10" style="414" width="3.71"/>
    <col collapsed="false" customWidth="true" hidden="false" outlineLevel="0" max="12" min="12" style="75"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7" width="10.57"/>
    <col collapsed="false" customWidth="true" hidden="false" outlineLevel="0" max="27" min="27" style="47" width="11.14"/>
    <col collapsed="false" customWidth="false" hidden="false" outlineLevel="0" max="29" min="28" style="47"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67"/>
      <c r="K4" s="467"/>
      <c r="L4" s="468"/>
      <c r="M4" s="79"/>
      <c r="N4" s="79"/>
    </row>
    <row r="5" customFormat="false" ht="64.5" hidden="false" customHeight="true" outlineLevel="0" collapsed="false">
      <c r="J5" s="467"/>
      <c r="K5" s="467"/>
      <c r="L5" s="1170" t="s">
        <v>2170</v>
      </c>
      <c r="M5" s="1170"/>
      <c r="N5" s="1170"/>
      <c r="O5" s="1170"/>
      <c r="P5" s="1170"/>
      <c r="Q5" s="1170"/>
      <c r="R5" s="1170"/>
      <c r="S5" s="1170"/>
      <c r="T5" s="1170"/>
      <c r="U5" s="1170"/>
      <c r="V5" s="214"/>
    </row>
    <row r="6" customFormat="false" ht="14.25" hidden="false" customHeight="true" outlineLevel="0" collapsed="false">
      <c r="J6" s="467"/>
      <c r="K6" s="467"/>
      <c r="L6" s="1171" t="str">
        <f aca="false">IF(org=0,"Не определено",org)</f>
        <v>ООО "Газпром теплоэнерго Ярославль"</v>
      </c>
      <c r="M6" s="1171"/>
      <c r="N6" s="1171"/>
      <c r="O6" s="1171"/>
      <c r="P6" s="1171"/>
      <c r="Q6" s="1171"/>
      <c r="R6" s="1171"/>
      <c r="S6" s="1171"/>
      <c r="T6" s="1171"/>
      <c r="U6" s="1171"/>
      <c r="V6" s="214"/>
    </row>
    <row r="7" customFormat="false" ht="14.25" hidden="false" customHeight="true" outlineLevel="0" collapsed="false">
      <c r="J7" s="467"/>
      <c r="K7" s="467"/>
      <c r="L7" s="468"/>
      <c r="M7" s="79"/>
      <c r="N7" s="79"/>
      <c r="O7" s="469"/>
      <c r="P7" s="469"/>
      <c r="Q7" s="469"/>
      <c r="R7" s="469"/>
      <c r="S7" s="469"/>
      <c r="T7" s="469"/>
      <c r="U7" s="469"/>
      <c r="V7" s="469"/>
    </row>
    <row r="8" s="174" customFormat="true" ht="45" hidden="false" customHeight="true" outlineLevel="0" collapsed="false">
      <c r="A8" s="139"/>
      <c r="B8" s="139"/>
      <c r="C8" s="139"/>
      <c r="D8" s="139"/>
      <c r="E8" s="139"/>
      <c r="F8" s="139"/>
      <c r="G8" s="139"/>
      <c r="H8" s="139"/>
      <c r="L8" s="877"/>
      <c r="M8" s="470" t="s">
        <v>37</v>
      </c>
      <c r="N8" s="862"/>
      <c r="O8" s="472" t="str">
        <f aca="false">IF(TITLE_NAME_OR_PR_CHANGE="",IF(TITLE_NAME_OR_PR="","",TITLE_NAME_OR_PR),TITLE_NAME_OR_PR_CHANGE)</f>
        <v>Министерство тарифного регулирования Ярославской области</v>
      </c>
      <c r="P8" s="472"/>
      <c r="Q8" s="472"/>
      <c r="R8" s="472"/>
      <c r="S8" s="472"/>
      <c r="T8" s="472"/>
      <c r="U8" s="472"/>
      <c r="V8" s="42"/>
      <c r="W8" s="42"/>
      <c r="X8" s="473"/>
      <c r="Y8" s="117"/>
      <c r="Z8" s="117"/>
      <c r="AA8" s="117"/>
      <c r="AB8" s="117"/>
      <c r="AC8" s="117"/>
    </row>
    <row r="9" s="174" customFormat="true" ht="22.5" hidden="false" customHeight="true" outlineLevel="0" collapsed="false">
      <c r="A9" s="139"/>
      <c r="B9" s="139"/>
      <c r="C9" s="139"/>
      <c r="D9" s="139"/>
      <c r="E9" s="139"/>
      <c r="F9" s="139"/>
      <c r="G9" s="139"/>
      <c r="H9" s="139"/>
      <c r="L9" s="877"/>
      <c r="M9" s="470" t="s">
        <v>437</v>
      </c>
      <c r="N9" s="862"/>
      <c r="O9" s="472" t="str">
        <f aca="false">IF(TITLE_DATE_CHANGE_PERIOD="",IF(TITLE_DATE_PR="","",TITLE_DATE_PR),TITLE_DATE_CHANGE_PERIOD)</f>
        <v>45279.46460648148</v>
      </c>
      <c r="P9" s="472"/>
      <c r="Q9" s="472"/>
      <c r="R9" s="472"/>
      <c r="S9" s="472"/>
      <c r="T9" s="472"/>
      <c r="U9" s="472"/>
      <c r="V9" s="42"/>
      <c r="W9" s="42"/>
      <c r="X9" s="473"/>
      <c r="Y9" s="117"/>
      <c r="Z9" s="117"/>
      <c r="AA9" s="117"/>
      <c r="AB9" s="117"/>
      <c r="AC9" s="117"/>
    </row>
    <row r="10" s="174" customFormat="true" ht="22.5" hidden="false" customHeight="true" outlineLevel="0" collapsed="false">
      <c r="A10" s="139"/>
      <c r="B10" s="139"/>
      <c r="C10" s="139"/>
      <c r="D10" s="139"/>
      <c r="E10" s="139"/>
      <c r="F10" s="139"/>
      <c r="G10" s="139"/>
      <c r="H10" s="139"/>
      <c r="L10" s="75"/>
      <c r="M10" s="470" t="s">
        <v>438</v>
      </c>
      <c r="N10" s="862"/>
      <c r="O10" s="472" t="str">
        <f aca="false">IF(TITLE_NUMBER_PR_CHANGE="",IF(TITLE_NUMBER_PR="","",TITLE_NUMBER_PR),TITLE_NUMBER_PR_CHANGE)</f>
        <v>403-гвс, 404-гвс, 406-гвс</v>
      </c>
      <c r="P10" s="472"/>
      <c r="Q10" s="472"/>
      <c r="R10" s="472"/>
      <c r="S10" s="472"/>
      <c r="T10" s="472"/>
      <c r="U10" s="472"/>
      <c r="V10" s="42"/>
      <c r="W10" s="42"/>
      <c r="X10" s="473"/>
      <c r="Y10" s="117"/>
      <c r="Z10" s="117"/>
      <c r="AA10" s="117"/>
      <c r="AB10" s="117"/>
      <c r="AC10" s="117"/>
    </row>
    <row r="11" s="174" customFormat="true" ht="22.5" hidden="false" customHeight="true" outlineLevel="0" collapsed="false">
      <c r="A11" s="139"/>
      <c r="B11" s="139"/>
      <c r="C11" s="139"/>
      <c r="D11" s="139"/>
      <c r="E11" s="139"/>
      <c r="F11" s="139"/>
      <c r="G11" s="139"/>
      <c r="H11" s="139"/>
      <c r="L11" s="75"/>
      <c r="M11" s="470" t="s">
        <v>39</v>
      </c>
      <c r="N11" s="862"/>
      <c r="O11" s="472" t="str">
        <f aca="false">IF(TITLE_IST_PUB_CHANGE="",IF(TITLE_IST_PUB="","",TITLE_IST_PUB),TITLE_IST_PUB_CHANGE)</f>
        <v>официальный интернет- портал правовой информации www.pravo.gov.ru</v>
      </c>
      <c r="P11" s="472"/>
      <c r="Q11" s="472"/>
      <c r="R11" s="472"/>
      <c r="S11" s="472"/>
      <c r="T11" s="472"/>
      <c r="U11" s="472"/>
      <c r="V11" s="42"/>
      <c r="W11" s="42"/>
      <c r="X11" s="473"/>
      <c r="Y11" s="117"/>
      <c r="Z11" s="117"/>
      <c r="AA11" s="117"/>
      <c r="AB11" s="117"/>
      <c r="AC11" s="117"/>
    </row>
    <row r="12" s="174" customFormat="true" ht="11.25" hidden="true" customHeight="true" outlineLevel="0" collapsed="false">
      <c r="A12" s="139"/>
      <c r="B12" s="139"/>
      <c r="C12" s="139"/>
      <c r="D12" s="139"/>
      <c r="E12" s="139"/>
      <c r="F12" s="139"/>
      <c r="G12" s="139"/>
      <c r="H12" s="139"/>
      <c r="L12" s="127"/>
      <c r="M12" s="127"/>
      <c r="N12" s="127"/>
      <c r="O12" s="42"/>
      <c r="P12" s="42"/>
      <c r="Q12" s="42"/>
      <c r="R12" s="42"/>
      <c r="S12" s="42"/>
      <c r="T12" s="42"/>
      <c r="U12" s="42"/>
      <c r="V12" s="47" t="s">
        <v>441</v>
      </c>
      <c r="Y12" s="117"/>
      <c r="Z12" s="117"/>
      <c r="AA12" s="117"/>
      <c r="AB12" s="117"/>
      <c r="AC12" s="117"/>
    </row>
    <row r="13" customFormat="false" ht="14.25" hidden="false" customHeight="true" outlineLevel="0" collapsed="false">
      <c r="J13" s="467"/>
      <c r="K13" s="467"/>
      <c r="L13" s="468"/>
      <c r="M13" s="79"/>
      <c r="N13" s="475"/>
      <c r="O13" s="476"/>
      <c r="P13" s="476"/>
      <c r="Q13" s="476"/>
      <c r="R13" s="476"/>
      <c r="S13" s="476"/>
      <c r="T13" s="476"/>
      <c r="U13" s="476"/>
      <c r="V13" s="476"/>
    </row>
    <row r="14" customFormat="false" ht="14.25" hidden="false" customHeight="true" outlineLevel="0" collapsed="false">
      <c r="J14" s="467"/>
      <c r="K14" s="467"/>
      <c r="L14" s="133" t="s">
        <v>316</v>
      </c>
      <c r="M14" s="133"/>
      <c r="N14" s="133"/>
      <c r="O14" s="133"/>
      <c r="P14" s="133"/>
      <c r="Q14" s="133"/>
      <c r="R14" s="133"/>
      <c r="S14" s="133"/>
      <c r="T14" s="133"/>
      <c r="U14" s="133"/>
      <c r="V14" s="133"/>
      <c r="W14" s="133"/>
      <c r="X14" s="133" t="s">
        <v>317</v>
      </c>
    </row>
    <row r="15" customFormat="false" ht="14.25" hidden="false" customHeight="true" outlineLevel="0" collapsed="false">
      <c r="J15" s="467"/>
      <c r="K15" s="467"/>
      <c r="L15" s="477" t="s">
        <v>84</v>
      </c>
      <c r="M15" s="394" t="s">
        <v>442</v>
      </c>
      <c r="N15" s="478"/>
      <c r="O15" s="300" t="s">
        <v>2171</v>
      </c>
      <c r="P15" s="300"/>
      <c r="Q15" s="300"/>
      <c r="R15" s="300"/>
      <c r="S15" s="300"/>
      <c r="T15" s="300"/>
      <c r="U15" s="300"/>
      <c r="V15" s="394" t="s">
        <v>444</v>
      </c>
      <c r="W15" s="479" t="s">
        <v>1083</v>
      </c>
      <c r="X15" s="133"/>
    </row>
    <row r="16" customFormat="false" ht="33.75" hidden="false" customHeight="true" outlineLevel="0" collapsed="false">
      <c r="J16" s="467"/>
      <c r="K16" s="467"/>
      <c r="L16" s="477"/>
      <c r="M16" s="394"/>
      <c r="N16" s="480"/>
      <c r="O16" s="133" t="s">
        <v>447</v>
      </c>
      <c r="P16" s="133" t="s">
        <v>448</v>
      </c>
      <c r="Q16" s="133" t="s">
        <v>449</v>
      </c>
      <c r="R16" s="133"/>
      <c r="S16" s="133" t="s">
        <v>462</v>
      </c>
      <c r="T16" s="133"/>
      <c r="U16" s="133"/>
      <c r="V16" s="394"/>
      <c r="W16" s="479"/>
      <c r="X16" s="133"/>
    </row>
    <row r="17" customFormat="false" ht="33.75" hidden="false" customHeight="true" outlineLevel="0" collapsed="false">
      <c r="A17" s="139" t="s">
        <v>141</v>
      </c>
      <c r="B17" s="139" t="s">
        <v>142</v>
      </c>
      <c r="C17" s="139" t="s">
        <v>143</v>
      </c>
      <c r="D17" s="139" t="s">
        <v>144</v>
      </c>
      <c r="E17" s="139"/>
      <c r="J17" s="467"/>
      <c r="K17" s="467"/>
      <c r="L17" s="477"/>
      <c r="M17" s="394"/>
      <c r="N17" s="481"/>
      <c r="O17" s="133"/>
      <c r="P17" s="133"/>
      <c r="Q17" s="184" t="s">
        <v>458</v>
      </c>
      <c r="R17" s="184" t="s">
        <v>459</v>
      </c>
      <c r="S17" s="184" t="s">
        <v>460</v>
      </c>
      <c r="T17" s="184" t="s">
        <v>461</v>
      </c>
      <c r="U17" s="184"/>
      <c r="V17" s="394"/>
      <c r="W17" s="479"/>
      <c r="X17" s="133"/>
    </row>
    <row r="18" s="119" customFormat="true" ht="11.25" hidden="false" customHeight="true" outlineLevel="0" collapsed="false">
      <c r="A18" s="139"/>
      <c r="B18" s="139"/>
      <c r="C18" s="139"/>
      <c r="D18" s="139"/>
      <c r="E18" s="139"/>
      <c r="F18" s="51"/>
      <c r="G18" s="51"/>
      <c r="H18" s="51"/>
      <c r="I18" s="482"/>
      <c r="J18" s="483"/>
      <c r="K18" s="484" t="n">
        <v>1</v>
      </c>
      <c r="L18" s="485" t="s">
        <v>117</v>
      </c>
      <c r="M18" s="486" t="s">
        <v>99</v>
      </c>
      <c r="N18" s="487" t="str">
        <f aca="true">OFFSET(N18,0,-1)</f>
        <v>2</v>
      </c>
      <c r="O18" s="488" t="n">
        <f aca="true">OFFSET(O18,0,-1)+1</f>
        <v>3</v>
      </c>
      <c r="P18" s="488"/>
      <c r="Q18" s="488" t="n">
        <f aca="true">OFFSET(Q18,0,-1)+1</f>
        <v>1</v>
      </c>
      <c r="R18" s="488" t="n">
        <f aca="true">OFFSET(R18,0,-1)+1</f>
        <v>2</v>
      </c>
      <c r="S18" s="488" t="n">
        <f aca="true">OFFSET(S18,0,-1)+1</f>
        <v>3</v>
      </c>
      <c r="T18" s="488" t="n">
        <f aca="true">OFFSET(T18,0,-1)+1</f>
        <v>4</v>
      </c>
      <c r="U18" s="488"/>
      <c r="V18" s="488" t="n">
        <f aca="true">OFFSET(V18,0,-2)+1</f>
        <v>5</v>
      </c>
      <c r="W18" s="487" t="n">
        <f aca="true">OFFSET(W18,0,-1)</f>
        <v>5</v>
      </c>
      <c r="X18" s="488" t="n">
        <f aca="true">OFFSET(X18,0,-1)+1</f>
        <v>6</v>
      </c>
      <c r="Y18" s="47"/>
      <c r="Z18" s="47"/>
      <c r="AA18" s="47"/>
      <c r="AB18" s="47"/>
      <c r="AC18" s="47"/>
    </row>
    <row r="19" customFormat="false" ht="21" hidden="false" customHeight="true" outlineLevel="0" collapsed="false">
      <c r="A19" s="415" t="s">
        <v>175</v>
      </c>
      <c r="B19" s="415" t="s">
        <v>176</v>
      </c>
      <c r="C19" s="415" t="s">
        <v>177</v>
      </c>
      <c r="D19" s="415" t="s">
        <v>178</v>
      </c>
      <c r="E19" s="415"/>
      <c r="F19" s="40"/>
      <c r="G19" s="40"/>
      <c r="H19" s="40"/>
      <c r="J19" s="131"/>
      <c r="K19" s="418"/>
      <c r="L19" s="419" t="n">
        <f aca="false">INDEX(PT_DIFFERENTIATION_NUM_NTAR,MATCH(A19,PT_DIFFERENTIATION_NTAR_ID,0))</f>
        <v>0</v>
      </c>
      <c r="M19" s="420" t="s">
        <v>130</v>
      </c>
      <c r="N19" s="421"/>
      <c r="O19" s="1172" t="str">
        <f aca="false">INDEX(PT_DIFFERENTIATION_NTAR,MATCH(A19,PT_DIFFERENTIATION_NTAR_ID,0))</f>
        <v/>
      </c>
      <c r="P19" s="1172"/>
      <c r="Q19" s="1172"/>
      <c r="R19" s="1172"/>
      <c r="S19" s="1172"/>
      <c r="T19" s="1172"/>
      <c r="U19" s="1172"/>
      <c r="V19" s="1172"/>
      <c r="W19" s="1172"/>
      <c r="X19" s="424" t="s">
        <v>412</v>
      </c>
      <c r="Z19" s="117"/>
      <c r="AA19" s="117" t="str">
        <f aca="false">IF(M19="","",M19)</f>
        <v>Наименование тарифа</v>
      </c>
      <c r="AB19" s="117"/>
      <c r="AC19" s="117"/>
    </row>
    <row r="20" customFormat="false" ht="21" hidden="false" customHeight="true" outlineLevel="0" collapsed="false">
      <c r="A20" s="415" t="s">
        <v>175</v>
      </c>
      <c r="B20" s="415" t="s">
        <v>176</v>
      </c>
      <c r="C20" s="415" t="s">
        <v>177</v>
      </c>
      <c r="D20" s="415" t="s">
        <v>178</v>
      </c>
      <c r="E20" s="415"/>
      <c r="F20" s="40"/>
      <c r="G20" s="40"/>
      <c r="H20" s="40"/>
      <c r="I20" s="43"/>
      <c r="J20" s="425"/>
      <c r="K20" s="426"/>
      <c r="L20" s="419" t="str">
        <f aca="false">INDEX(PT_DIFFERENTIATION_NUM_TER,MATCH(B19,PT_DIFFERENTIATION_TER_ID,0))</f>
        <v>.</v>
      </c>
      <c r="M20" s="427" t="s">
        <v>413</v>
      </c>
      <c r="N20" s="421"/>
      <c r="O20" s="1172" t="str">
        <f aca="false">INDEX(PT_DIFFERENTIATION_TER,MATCH(B19,PT_DIFFERENTIATION_TER_ID,0))</f>
        <v/>
      </c>
      <c r="P20" s="1172"/>
      <c r="Q20" s="1172"/>
      <c r="R20" s="1172"/>
      <c r="S20" s="1172"/>
      <c r="T20" s="1172"/>
      <c r="U20" s="1172"/>
      <c r="V20" s="1172"/>
      <c r="W20" s="1172"/>
      <c r="X20" s="424" t="s">
        <v>414</v>
      </c>
      <c r="Z20" s="117"/>
      <c r="AA20" s="117" t="str">
        <f aca="false">IF(M20="","",M20)</f>
        <v>Территория действия тарифа</v>
      </c>
      <c r="AB20" s="117"/>
      <c r="AC20" s="117"/>
    </row>
    <row r="21" customFormat="false" ht="22.5" hidden="false" customHeight="true" outlineLevel="0" collapsed="false">
      <c r="A21" s="415" t="s">
        <v>175</v>
      </c>
      <c r="B21" s="415" t="s">
        <v>176</v>
      </c>
      <c r="C21" s="415" t="s">
        <v>177</v>
      </c>
      <c r="D21" s="415" t="s">
        <v>178</v>
      </c>
      <c r="E21" s="415"/>
      <c r="F21" s="40"/>
      <c r="G21" s="40"/>
      <c r="H21" s="40"/>
      <c r="I21" s="428"/>
      <c r="J21" s="425"/>
      <c r="K21" s="426"/>
      <c r="L21" s="419" t="str">
        <f aca="false">INDEX(PT_DIFFERENTIATION_NUM_CS,MATCH(C19,PT_DIFFERENTIATION_CS_ID,0))</f>
        <v>..</v>
      </c>
      <c r="M21" s="429" t="s">
        <v>415</v>
      </c>
      <c r="N21" s="421"/>
      <c r="O21" s="1172" t="str">
        <f aca="false">INDEX(PT_DIFFERENTIATION_CS,MATCH(C19,PT_DIFFERENTIATION_CS_ID,0))</f>
        <v/>
      </c>
      <c r="P21" s="1172"/>
      <c r="Q21" s="1172"/>
      <c r="R21" s="1172"/>
      <c r="S21" s="1172"/>
      <c r="T21" s="1172"/>
      <c r="U21" s="1172"/>
      <c r="V21" s="1172"/>
      <c r="W21" s="1172"/>
      <c r="X21" s="424" t="s">
        <v>416</v>
      </c>
      <c r="Z21" s="117"/>
      <c r="AA21" s="117" t="str">
        <f aca="false">IF(M21="","",M21)</f>
        <v>Наименование системы теплоснабжения</v>
      </c>
      <c r="AB21" s="117"/>
      <c r="AC21" s="117"/>
    </row>
    <row r="22" customFormat="false" ht="21" hidden="false" customHeight="true" outlineLevel="0" collapsed="false">
      <c r="A22" s="415" t="s">
        <v>175</v>
      </c>
      <c r="B22" s="415" t="s">
        <v>176</v>
      </c>
      <c r="C22" s="415" t="s">
        <v>177</v>
      </c>
      <c r="D22" s="415" t="s">
        <v>178</v>
      </c>
      <c r="E22" s="415"/>
      <c r="F22" s="40"/>
      <c r="G22" s="40"/>
      <c r="H22" s="40"/>
      <c r="I22" s="428"/>
      <c r="J22" s="425"/>
      <c r="K22" s="426"/>
      <c r="L22" s="419" t="str">
        <f aca="false">INDEX(PT_DIFFERENTIATION_NUM_IST_TE,MATCH(D19,PT_DIFFERENTIATION_IST_TE_ID,0))</f>
        <v>...</v>
      </c>
      <c r="M22" s="430" t="s">
        <v>417</v>
      </c>
      <c r="N22" s="421"/>
      <c r="O22" s="1172" t="str">
        <f aca="false">INDEX(PT_DIFFERENTIATION_IST_TE,MATCH(D19,PT_DIFFERENTIATION_IST_TE_ID,0))</f>
        <v/>
      </c>
      <c r="P22" s="1172"/>
      <c r="Q22" s="1172"/>
      <c r="R22" s="1172"/>
      <c r="S22" s="1172"/>
      <c r="T22" s="1172"/>
      <c r="U22" s="1172"/>
      <c r="V22" s="1172"/>
      <c r="W22" s="1172"/>
      <c r="X22" s="424" t="s">
        <v>418</v>
      </c>
      <c r="Z22" s="117"/>
      <c r="AA22" s="117" t="str">
        <f aca="false">IF(M22="","",M22)</f>
        <v>Источник тепловой энергии</v>
      </c>
      <c r="AB22" s="117"/>
      <c r="AC22" s="117"/>
    </row>
    <row r="23" customFormat="false" ht="94.5" hidden="false" customHeight="true" outlineLevel="0" collapsed="false">
      <c r="A23" s="415" t="s">
        <v>175</v>
      </c>
      <c r="B23" s="415" t="s">
        <v>176</v>
      </c>
      <c r="C23" s="415" t="s">
        <v>177</v>
      </c>
      <c r="D23" s="415" t="s">
        <v>178</v>
      </c>
      <c r="E23" s="415"/>
      <c r="F23" s="1173" t="str">
        <f aca="false">L22&amp;".1"</f>
        <v>....1</v>
      </c>
      <c r="I23" s="120" t="n">
        <v>1</v>
      </c>
      <c r="J23" s="120"/>
      <c r="K23" s="432"/>
      <c r="L23" s="419" t="str">
        <f aca="false">$F$23</f>
        <v>....1</v>
      </c>
      <c r="M23" s="433" t="s">
        <v>420</v>
      </c>
      <c r="N23" s="421"/>
      <c r="O23" s="1174"/>
      <c r="P23" s="1174"/>
      <c r="Q23" s="1174"/>
      <c r="R23" s="1174"/>
      <c r="S23" s="1174"/>
      <c r="T23" s="1174"/>
      <c r="U23" s="1174"/>
      <c r="V23" s="1174"/>
      <c r="W23" s="1174"/>
      <c r="X23" s="424" t="s">
        <v>421</v>
      </c>
      <c r="Z23" s="117"/>
      <c r="AA23" s="117" t="str">
        <f aca="false">IF(M23="","",M23)</f>
        <v>Схема подключения теплопотребляющей установки к коллектору источника тепловой энергии</v>
      </c>
      <c r="AB23" s="117"/>
      <c r="AC23" s="117"/>
    </row>
    <row r="24" customFormat="false" ht="84" hidden="false" customHeight="true" outlineLevel="0" collapsed="false">
      <c r="A24" s="415" t="s">
        <v>175</v>
      </c>
      <c r="B24" s="415" t="s">
        <v>176</v>
      </c>
      <c r="C24" s="415" t="s">
        <v>177</v>
      </c>
      <c r="D24" s="415" t="s">
        <v>178</v>
      </c>
      <c r="E24" s="415"/>
      <c r="F24" s="1173"/>
      <c r="G24" s="1173" t="str">
        <f aca="false">F23&amp;".1"</f>
        <v>....1.1</v>
      </c>
      <c r="I24" s="120"/>
      <c r="J24" s="120" t="n">
        <v>1</v>
      </c>
      <c r="K24" s="435"/>
      <c r="L24" s="419" t="str">
        <f aca="false">$G$24</f>
        <v>....1.1</v>
      </c>
      <c r="M24" s="436" t="s">
        <v>423</v>
      </c>
      <c r="N24" s="421"/>
      <c r="O24" s="1174"/>
      <c r="P24" s="1174"/>
      <c r="Q24" s="1174"/>
      <c r="R24" s="1174"/>
      <c r="S24" s="1174"/>
      <c r="T24" s="1174"/>
      <c r="U24" s="1174"/>
      <c r="V24" s="1174"/>
      <c r="W24" s="1174"/>
      <c r="X24" s="424" t="s">
        <v>424</v>
      </c>
      <c r="Z24" s="117"/>
      <c r="AA24" s="117" t="str">
        <f aca="false">IF(M24="","",M24)</f>
        <v>Группа потребителей</v>
      </c>
      <c r="AB24" s="117"/>
      <c r="AC24" s="117"/>
    </row>
    <row r="25" customFormat="false" ht="11.25" hidden="false" customHeight="true" outlineLevel="0" collapsed="false">
      <c r="A25" s="415" t="s">
        <v>175</v>
      </c>
      <c r="B25" s="415" t="s">
        <v>176</v>
      </c>
      <c r="C25" s="415" t="s">
        <v>177</v>
      </c>
      <c r="D25" s="415" t="s">
        <v>178</v>
      </c>
      <c r="E25" s="415"/>
      <c r="F25" s="1173"/>
      <c r="G25" s="1173"/>
      <c r="H25" s="1173" t="str">
        <f aca="false">G24&amp;".1"</f>
        <v>....1.1.1</v>
      </c>
      <c r="I25" s="120"/>
      <c r="J25" s="120"/>
      <c r="K25" s="435" t="n">
        <v>1</v>
      </c>
      <c r="L25" s="419" t="str">
        <f aca="false">$H$25</f>
        <v>....1.1.1</v>
      </c>
      <c r="M25" s="1175"/>
      <c r="N25" s="421"/>
      <c r="O25" s="438"/>
      <c r="P25" s="439"/>
      <c r="Q25" s="438"/>
      <c r="R25" s="440"/>
      <c r="S25" s="441"/>
      <c r="T25" s="203" t="s">
        <v>63</v>
      </c>
      <c r="U25" s="441"/>
      <c r="V25" s="203" t="s">
        <v>53</v>
      </c>
      <c r="W25" s="439"/>
      <c r="X25" s="442" t="s">
        <v>426</v>
      </c>
      <c r="Y25" s="47" t="e">
        <f aca="false">strcheckdate(O26:W26)</f>
        <v>#NAME?</v>
      </c>
      <c r="Z25" s="117"/>
      <c r="AA25" s="117" t="str">
        <f aca="false">IF(M25="","",M25)</f>
        <v/>
      </c>
      <c r="AB25" s="117"/>
      <c r="AC25" s="117"/>
    </row>
    <row r="26" customFormat="false" ht="11.25" hidden="false" customHeight="true" outlineLevel="0" collapsed="false">
      <c r="A26" s="415" t="s">
        <v>175</v>
      </c>
      <c r="B26" s="415" t="s">
        <v>176</v>
      </c>
      <c r="C26" s="415" t="s">
        <v>177</v>
      </c>
      <c r="D26" s="415" t="s">
        <v>178</v>
      </c>
      <c r="E26" s="415"/>
      <c r="F26" s="1173"/>
      <c r="G26" s="1173"/>
      <c r="H26" s="1173"/>
      <c r="I26" s="120"/>
      <c r="J26" s="120"/>
      <c r="K26" s="435"/>
      <c r="L26" s="396"/>
      <c r="M26" s="421"/>
      <c r="N26" s="421"/>
      <c r="O26" s="439"/>
      <c r="P26" s="439"/>
      <c r="Q26" s="439"/>
      <c r="R26" s="443" t="str">
        <f aca="false">S25&amp;"-"&amp;U25</f>
        <v>-</v>
      </c>
      <c r="S26" s="441"/>
      <c r="T26" s="203"/>
      <c r="U26" s="441"/>
      <c r="V26" s="203"/>
      <c r="W26" s="439"/>
      <c r="X26" s="442"/>
      <c r="Z26" s="117"/>
      <c r="AA26" s="117" t="str">
        <f aca="false">IF(M26="","",M26)</f>
        <v/>
      </c>
      <c r="AB26" s="117"/>
      <c r="AC26" s="117"/>
    </row>
    <row r="27" customFormat="false" ht="15" hidden="false" customHeight="true" outlineLevel="0" collapsed="false">
      <c r="A27" s="415" t="s">
        <v>175</v>
      </c>
      <c r="B27" s="415" t="s">
        <v>176</v>
      </c>
      <c r="C27" s="415" t="s">
        <v>177</v>
      </c>
      <c r="D27" s="415" t="s">
        <v>178</v>
      </c>
      <c r="E27" s="415"/>
      <c r="F27" s="1173"/>
      <c r="G27" s="1173"/>
      <c r="I27" s="120"/>
      <c r="J27" s="120"/>
      <c r="K27" s="432"/>
      <c r="L27" s="444"/>
      <c r="M27" s="445" t="s">
        <v>427</v>
      </c>
      <c r="N27" s="193"/>
      <c r="O27" s="193"/>
      <c r="P27" s="193"/>
      <c r="Q27" s="193"/>
      <c r="R27" s="193"/>
      <c r="S27" s="193"/>
      <c r="T27" s="193"/>
      <c r="U27" s="193"/>
      <c r="V27" s="193"/>
      <c r="W27" s="446"/>
      <c r="X27" s="442"/>
      <c r="Z27" s="117"/>
      <c r="AA27" s="117" t="str">
        <f aca="false">IF(M27="","",M27)</f>
        <v>Добавить вид теплоносителя (параметры теплоносителя)</v>
      </c>
      <c r="AB27" s="117"/>
      <c r="AC27" s="117"/>
    </row>
    <row r="28" customFormat="false" ht="15" hidden="false" customHeight="true" outlineLevel="0" collapsed="false">
      <c r="A28" s="415" t="s">
        <v>175</v>
      </c>
      <c r="B28" s="415" t="s">
        <v>176</v>
      </c>
      <c r="C28" s="415" t="s">
        <v>177</v>
      </c>
      <c r="D28" s="415" t="s">
        <v>178</v>
      </c>
      <c r="E28" s="415"/>
      <c r="F28" s="1173"/>
      <c r="I28" s="120"/>
      <c r="J28" s="120"/>
      <c r="K28" s="432"/>
      <c r="L28" s="444"/>
      <c r="M28" s="447" t="s">
        <v>428</v>
      </c>
      <c r="N28" s="193"/>
      <c r="O28" s="193"/>
      <c r="P28" s="193"/>
      <c r="Q28" s="193"/>
      <c r="R28" s="193"/>
      <c r="S28" s="193"/>
      <c r="T28" s="193"/>
      <c r="U28" s="193"/>
      <c r="V28" s="448"/>
      <c r="W28" s="193"/>
      <c r="X28" s="449"/>
      <c r="Z28" s="117"/>
      <c r="AA28" s="117" t="str">
        <f aca="false">IF(M28="","",M28)</f>
        <v>Добавить группу потребителей</v>
      </c>
      <c r="AB28" s="117"/>
      <c r="AC28" s="117"/>
    </row>
    <row r="29" customFormat="false" ht="14.25" hidden="false" customHeight="true" outlineLevel="0" collapsed="false">
      <c r="A29" s="415" t="s">
        <v>175</v>
      </c>
      <c r="B29" s="415" t="s">
        <v>176</v>
      </c>
      <c r="C29" s="415" t="s">
        <v>177</v>
      </c>
      <c r="D29" s="415" t="s">
        <v>178</v>
      </c>
      <c r="E29" s="415"/>
      <c r="F29" s="40"/>
      <c r="G29" s="40"/>
      <c r="H29" s="45"/>
      <c r="I29" s="131"/>
      <c r="J29" s="450"/>
      <c r="K29" s="418"/>
      <c r="L29" s="444"/>
      <c r="M29" s="451" t="s">
        <v>429</v>
      </c>
      <c r="N29" s="193"/>
      <c r="O29" s="193"/>
      <c r="P29" s="193"/>
      <c r="Q29" s="193"/>
      <c r="R29" s="193"/>
      <c r="S29" s="193"/>
      <c r="T29" s="193"/>
      <c r="U29" s="193"/>
      <c r="V29" s="448"/>
      <c r="W29" s="193"/>
      <c r="X29" s="449"/>
      <c r="Z29" s="117"/>
      <c r="AA29" s="117" t="str">
        <f aca="false">IF(M29="","",M29)</f>
        <v>Добавить схему подключения</v>
      </c>
      <c r="AB29" s="117"/>
      <c r="AC29" s="117"/>
    </row>
    <row r="30" customFormat="false" ht="14.25" hidden="false" customHeight="true" outlineLevel="0" collapsed="false">
      <c r="A30" s="415" t="s">
        <v>175</v>
      </c>
      <c r="B30" s="415" t="s">
        <v>176</v>
      </c>
      <c r="C30" s="415" t="s">
        <v>177</v>
      </c>
      <c r="D30" s="415"/>
      <c r="E30" s="415" t="s">
        <v>607</v>
      </c>
      <c r="F30" s="40"/>
      <c r="G30" s="40"/>
      <c r="H30" s="45"/>
      <c r="I30" s="131"/>
      <c r="J30" s="450"/>
      <c r="K30" s="418"/>
      <c r="L30" s="1176"/>
      <c r="M30" s="1177"/>
      <c r="N30" s="1178"/>
      <c r="O30" s="1178"/>
      <c r="P30" s="1178"/>
      <c r="Q30" s="1178"/>
      <c r="R30" s="1178"/>
      <c r="S30" s="1178"/>
      <c r="T30" s="1178"/>
      <c r="U30" s="1178"/>
      <c r="V30" s="1179"/>
      <c r="W30" s="1178"/>
      <c r="X30" s="1180"/>
      <c r="Z30" s="117"/>
      <c r="AA30" s="117" t="str">
        <f aca="false">IF(M30="","",M30)</f>
        <v/>
      </c>
      <c r="AB30" s="117"/>
      <c r="AC30" s="117"/>
    </row>
    <row r="31" customFormat="false" ht="14.25" hidden="false" customHeight="true" outlineLevel="0" collapsed="false">
      <c r="A31" s="415" t="s">
        <v>175</v>
      </c>
      <c r="B31" s="415" t="s">
        <v>176</v>
      </c>
      <c r="C31" s="415"/>
      <c r="D31" s="415"/>
      <c r="E31" s="415" t="s">
        <v>2172</v>
      </c>
      <c r="F31" s="548"/>
      <c r="G31" s="548"/>
      <c r="H31" s="45"/>
      <c r="I31" s="54"/>
      <c r="J31" s="450"/>
      <c r="K31" s="1092"/>
      <c r="L31" s="1176"/>
      <c r="M31" s="1181"/>
      <c r="N31" s="1178"/>
      <c r="O31" s="1178"/>
      <c r="P31" s="1178"/>
      <c r="Q31" s="1178"/>
      <c r="R31" s="1178"/>
      <c r="S31" s="1178"/>
      <c r="T31" s="1178"/>
      <c r="U31" s="1178"/>
      <c r="V31" s="1179"/>
      <c r="W31" s="1178"/>
      <c r="X31" s="1180"/>
      <c r="Z31" s="117"/>
      <c r="AA31" s="117" t="str">
        <f aca="false">IF(M31="","",M31)</f>
        <v/>
      </c>
      <c r="AB31" s="117"/>
      <c r="AC31" s="117"/>
    </row>
    <row r="32" customFormat="false" ht="14.25" hidden="false" customHeight="true" outlineLevel="0" collapsed="false">
      <c r="A32" s="415" t="s">
        <v>2173</v>
      </c>
      <c r="B32" s="415"/>
      <c r="C32" s="415"/>
      <c r="D32" s="415"/>
      <c r="E32" s="415" t="s">
        <v>112</v>
      </c>
      <c r="F32" s="548"/>
      <c r="G32" s="548"/>
      <c r="H32" s="45"/>
      <c r="I32" s="131"/>
      <c r="J32" s="450"/>
      <c r="K32" s="418"/>
      <c r="L32" s="1176"/>
      <c r="M32" s="1182"/>
      <c r="N32" s="1178"/>
      <c r="O32" s="1178"/>
      <c r="P32" s="1178"/>
      <c r="Q32" s="1178"/>
      <c r="R32" s="1178"/>
      <c r="S32" s="1178"/>
      <c r="T32" s="1178"/>
      <c r="U32" s="1178"/>
      <c r="V32" s="1179"/>
      <c r="W32" s="1178"/>
      <c r="X32" s="1180"/>
      <c r="Z32" s="117"/>
      <c r="AA32" s="117" t="str">
        <f aca="false">IF(M32="","",M32)</f>
        <v/>
      </c>
      <c r="AB32" s="117"/>
      <c r="AC32" s="117"/>
    </row>
    <row r="33" s="53" customFormat="true" ht="11.25" hidden="false" customHeight="true" outlineLevel="0" collapsed="false">
      <c r="A33" s="415"/>
      <c r="B33" s="415"/>
      <c r="C33" s="415"/>
      <c r="D33" s="415"/>
      <c r="E33" s="415" t="s">
        <v>269</v>
      </c>
      <c r="F33" s="548"/>
      <c r="G33" s="1183"/>
      <c r="H33" s="45"/>
      <c r="L33" s="1184"/>
      <c r="M33" s="1185"/>
      <c r="N33" s="1178"/>
      <c r="O33" s="1178"/>
      <c r="P33" s="1178"/>
      <c r="Q33" s="1178"/>
      <c r="R33" s="1178"/>
      <c r="S33" s="1178"/>
      <c r="T33" s="1178"/>
      <c r="U33" s="1178"/>
      <c r="V33" s="1179"/>
      <c r="W33" s="1178"/>
      <c r="X33" s="1180"/>
      <c r="Y33" s="155"/>
      <c r="Z33" s="155"/>
      <c r="AA33" s="155"/>
      <c r="AB33" s="155"/>
      <c r="AC33" s="155"/>
    </row>
    <row r="34" customFormat="false" ht="11.25" hidden="false" customHeight="true" outlineLevel="0" collapsed="false">
      <c r="F34" s="45"/>
      <c r="G34" s="45"/>
      <c r="H34" s="45"/>
      <c r="I34" s="42"/>
      <c r="J34" s="42"/>
      <c r="K34" s="42"/>
      <c r="Y34" s="42"/>
      <c r="Z34" s="42"/>
      <c r="AA34" s="42"/>
      <c r="AB34" s="42"/>
      <c r="AC34" s="42"/>
    </row>
    <row r="35" customFormat="false" ht="27" hidden="false" customHeight="true" outlineLevel="0" collapsed="false">
      <c r="H35" s="45"/>
      <c r="L35" s="491" t="s">
        <v>739</v>
      </c>
      <c r="M35" s="491" t="s">
        <v>2174</v>
      </c>
      <c r="N35" s="491"/>
      <c r="O35" s="491"/>
      <c r="P35" s="491"/>
      <c r="Q35" s="491"/>
      <c r="R35" s="491"/>
      <c r="S35" s="491"/>
      <c r="T35" s="491"/>
      <c r="U35" s="491"/>
      <c r="V35" s="491"/>
      <c r="W35" s="491"/>
      <c r="X35" s="491"/>
    </row>
    <row r="36" customFormat="false" ht="104.25" hidden="false" customHeight="true" outlineLevel="0" collapsed="false">
      <c r="H36" s="45"/>
      <c r="M36" s="491" t="s">
        <v>2175</v>
      </c>
      <c r="N36" s="491"/>
      <c r="O36" s="491"/>
      <c r="P36" s="491"/>
      <c r="Q36" s="491"/>
      <c r="R36" s="491"/>
      <c r="S36" s="491"/>
      <c r="T36" s="491"/>
      <c r="U36" s="491"/>
      <c r="V36" s="491"/>
      <c r="W36" s="491"/>
      <c r="X36" s="491"/>
    </row>
    <row r="37" customFormat="false" ht="14.25" hidden="false" customHeight="true" outlineLevel="0" collapsed="false">
      <c r="H37" s="45"/>
    </row>
    <row r="38" customFormat="false" ht="14.25" hidden="false" customHeight="true" outlineLevel="0" collapsed="false">
      <c r="H38" s="45"/>
    </row>
    <row r="39" customFormat="false" ht="14.25" hidden="false" customHeight="true" outlineLevel="0" collapsed="false">
      <c r="H39" s="45"/>
    </row>
    <row r="40" customFormat="false" ht="14.25" hidden="false" customHeight="true" outlineLevel="0" collapsed="false">
      <c r="H40" s="45"/>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row r="1" customFormat="false" ht="11.25" hidden="false" customHeight="true" outlineLevel="0" collapsed="false">
      <c r="A1" s="53"/>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cols>
    <col collapsed="false" customWidth="true" hidden="false" outlineLevel="0" max="1" min="1" style="53" width="10.57"/>
    <col collapsed="false" customWidth="false" hidden="false" outlineLevel="0" max="2" min="2" style="53" width="8.71"/>
    <col collapsed="false" customWidth="true" hidden="false" outlineLevel="0" max="3" min="3" style="53" width="18.14"/>
    <col collapsed="false" customWidth="true" hidden="false" outlineLevel="0" max="4" min="4" style="53" width="12.57"/>
  </cols>
  <sheetData>
    <row r="1" customFormat="false" ht="11.25" hidden="false" customHeight="true" outlineLevel="0" collapsed="false">
      <c r="A1" s="991" t="s">
        <v>2176</v>
      </c>
      <c r="B1" s="880" t="s">
        <v>2177</v>
      </c>
      <c r="C1" s="1186" t="s">
        <v>2178</v>
      </c>
      <c r="D1" s="1186"/>
      <c r="E1" s="991" t="s">
        <v>2179</v>
      </c>
    </row>
    <row r="2" customFormat="false" ht="11.25" hidden="false" customHeight="true" outlineLevel="0" collapsed="false">
      <c r="A2" s="1187"/>
      <c r="B2" s="1186" t="s">
        <v>22</v>
      </c>
      <c r="C2" s="991"/>
      <c r="D2" s="880"/>
      <c r="E2" s="991"/>
    </row>
    <row r="3" customFormat="false" ht="11.25" hidden="false" customHeight="true" outlineLevel="0" collapsed="false">
      <c r="A3" s="1188"/>
      <c r="B3" s="1189" t="s">
        <v>28</v>
      </c>
      <c r="C3" s="991"/>
      <c r="D3" s="880"/>
      <c r="E3" s="991"/>
    </row>
    <row r="4" customFormat="false" ht="11.25" hidden="false" customHeight="true" outlineLevel="0" collapsed="false">
      <c r="A4" s="1190"/>
      <c r="B4" s="1189" t="s">
        <v>1596</v>
      </c>
      <c r="C4" s="991"/>
      <c r="D4" s="880"/>
      <c r="E4" s="991"/>
    </row>
    <row r="5" customFormat="false" ht="11.25" hidden="false" customHeight="true" outlineLevel="0" collapsed="false">
      <c r="A5" s="1191"/>
      <c r="B5" s="1189" t="s">
        <v>1590</v>
      </c>
      <c r="C5" s="1192" t="s">
        <v>1935</v>
      </c>
      <c r="D5" s="1193" t="s">
        <v>2180</v>
      </c>
      <c r="E5" s="991"/>
    </row>
    <row r="6" s="53" customFormat="true" ht="11.25" hidden="false" customHeight="true" outlineLevel="0" collapsed="false">
      <c r="A6" s="1194"/>
      <c r="B6" s="1189" t="s">
        <v>1600</v>
      </c>
      <c r="C6" s="991"/>
      <c r="D6" s="880"/>
      <c r="E6" s="991"/>
    </row>
    <row r="7" customFormat="false" ht="11.25" hidden="false" customHeight="true" outlineLevel="0" collapsed="false">
      <c r="A7" s="1195"/>
      <c r="B7" s="1189" t="s">
        <v>1608</v>
      </c>
      <c r="C7" s="991"/>
      <c r="D7" s="880"/>
      <c r="E7" s="991"/>
    </row>
    <row r="8" customFormat="false" ht="11.25" hidden="false" customHeight="true" outlineLevel="0" collapsed="false">
      <c r="A8" s="1192"/>
      <c r="B8" s="1189" t="s">
        <v>1603</v>
      </c>
      <c r="C8" s="991"/>
      <c r="D8" s="880"/>
      <c r="E8" s="991"/>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7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false" outlineLevel="0" max="2" min="1" style="53" width="9.14"/>
    <col collapsed="false" customWidth="true" hidden="false" outlineLevel="0" max="3" min="3" style="53" width="20.71"/>
    <col collapsed="false" customWidth="true" hidden="false" outlineLevel="0" max="4" min="4" style="53" width="25.14"/>
    <col collapsed="false" customWidth="false" hidden="false" outlineLevel="0" max="9" min="5" style="53" width="9.14"/>
  </cols>
  <sheetData>
    <row r="1" customFormat="false" ht="11.25" hidden="false" customHeight="true" outlineLevel="0" collapsed="false">
      <c r="A1" s="53" t="s">
        <v>2181</v>
      </c>
      <c r="B1" s="53" t="s">
        <v>2182</v>
      </c>
      <c r="C1" s="53" t="s">
        <v>2183</v>
      </c>
      <c r="D1" s="53" t="s">
        <v>2184</v>
      </c>
      <c r="E1" s="53" t="s">
        <v>2185</v>
      </c>
      <c r="F1" s="53" t="s">
        <v>2186</v>
      </c>
      <c r="G1" s="53" t="s">
        <v>2187</v>
      </c>
      <c r="H1" s="53" t="s">
        <v>2188</v>
      </c>
      <c r="I1" s="53" t="s">
        <v>2189</v>
      </c>
    </row>
    <row r="2" customFormat="false" ht="11.25" hidden="false" customHeight="true" outlineLevel="0" collapsed="false">
      <c r="A2" s="53" t="s">
        <v>2190</v>
      </c>
      <c r="B2" s="53" t="s">
        <v>14</v>
      </c>
      <c r="C2" s="53" t="s">
        <v>2191</v>
      </c>
      <c r="D2" s="53" t="s">
        <v>2192</v>
      </c>
      <c r="E2" s="53" t="s">
        <v>2193</v>
      </c>
      <c r="F2" s="53" t="s">
        <v>2194</v>
      </c>
      <c r="I2" s="53" t="s">
        <v>743</v>
      </c>
    </row>
    <row r="3" customFormat="false" ht="11.25" hidden="false" customHeight="true" outlineLevel="0" collapsed="false">
      <c r="A3" s="53" t="s">
        <v>2190</v>
      </c>
      <c r="B3" s="53" t="s">
        <v>14</v>
      </c>
      <c r="C3" s="53" t="s">
        <v>2195</v>
      </c>
      <c r="D3" s="53" t="s">
        <v>2196</v>
      </c>
      <c r="E3" s="53" t="s">
        <v>2197</v>
      </c>
      <c r="F3" s="53" t="s">
        <v>2198</v>
      </c>
      <c r="G3" s="53" t="s">
        <v>2199</v>
      </c>
      <c r="I3" s="53" t="s">
        <v>743</v>
      </c>
    </row>
    <row r="4" customFormat="false" ht="11.25" hidden="false" customHeight="true" outlineLevel="0" collapsed="false">
      <c r="A4" s="53" t="s">
        <v>2190</v>
      </c>
      <c r="B4" s="53" t="s">
        <v>14</v>
      </c>
      <c r="C4" s="53" t="s">
        <v>2200</v>
      </c>
      <c r="D4" s="53" t="s">
        <v>2201</v>
      </c>
      <c r="E4" s="53" t="s">
        <v>2202</v>
      </c>
      <c r="F4" s="53" t="s">
        <v>2203</v>
      </c>
      <c r="G4" s="53" t="s">
        <v>2204</v>
      </c>
      <c r="I4" s="53" t="s">
        <v>743</v>
      </c>
    </row>
    <row r="5" customFormat="false" ht="11.25" hidden="false" customHeight="true" outlineLevel="0" collapsed="false">
      <c r="A5" s="53" t="s">
        <v>2190</v>
      </c>
      <c r="B5" s="53" t="s">
        <v>14</v>
      </c>
      <c r="C5" s="53" t="s">
        <v>2205</v>
      </c>
      <c r="D5" s="53" t="s">
        <v>2206</v>
      </c>
      <c r="E5" s="53" t="s">
        <v>2207</v>
      </c>
      <c r="F5" s="53" t="s">
        <v>2208</v>
      </c>
      <c r="I5" s="53" t="s">
        <v>743</v>
      </c>
    </row>
    <row r="6" customFormat="false" ht="11.25" hidden="false" customHeight="true" outlineLevel="0" collapsed="false">
      <c r="A6" s="53" t="s">
        <v>2190</v>
      </c>
      <c r="B6" s="53" t="s">
        <v>14</v>
      </c>
      <c r="C6" s="53" t="s">
        <v>2209</v>
      </c>
      <c r="D6" s="53" t="s">
        <v>2210</v>
      </c>
      <c r="E6" s="53" t="s">
        <v>2211</v>
      </c>
      <c r="F6" s="53" t="s">
        <v>2212</v>
      </c>
      <c r="G6" s="53" t="s">
        <v>2213</v>
      </c>
      <c r="H6" s="53" t="s">
        <v>2214</v>
      </c>
      <c r="I6" s="53" t="s">
        <v>743</v>
      </c>
    </row>
    <row r="7" customFormat="false" ht="11.25" hidden="false" customHeight="true" outlineLevel="0" collapsed="false">
      <c r="A7" s="53" t="s">
        <v>2190</v>
      </c>
      <c r="B7" s="53" t="s">
        <v>14</v>
      </c>
      <c r="C7" s="53" t="s">
        <v>2215</v>
      </c>
      <c r="D7" s="53" t="s">
        <v>2216</v>
      </c>
      <c r="E7" s="53" t="s">
        <v>2217</v>
      </c>
      <c r="F7" s="53" t="s">
        <v>2218</v>
      </c>
      <c r="I7" s="53" t="s">
        <v>743</v>
      </c>
    </row>
    <row r="8" customFormat="false" ht="11.25" hidden="false" customHeight="true" outlineLevel="0" collapsed="false">
      <c r="A8" s="53" t="s">
        <v>2190</v>
      </c>
      <c r="B8" s="53" t="s">
        <v>14</v>
      </c>
      <c r="C8" s="53" t="s">
        <v>2219</v>
      </c>
      <c r="D8" s="53" t="s">
        <v>2220</v>
      </c>
      <c r="E8" s="53" t="s">
        <v>2221</v>
      </c>
      <c r="F8" s="53" t="s">
        <v>2222</v>
      </c>
      <c r="I8" s="53" t="s">
        <v>743</v>
      </c>
    </row>
    <row r="9" customFormat="false" ht="11.25" hidden="false" customHeight="true" outlineLevel="0" collapsed="false">
      <c r="A9" s="53" t="s">
        <v>2190</v>
      </c>
      <c r="B9" s="53" t="s">
        <v>14</v>
      </c>
      <c r="C9" s="53" t="s">
        <v>2223</v>
      </c>
      <c r="D9" s="53" t="s">
        <v>2224</v>
      </c>
      <c r="E9" s="53" t="s">
        <v>2225</v>
      </c>
      <c r="F9" s="53" t="s">
        <v>2226</v>
      </c>
      <c r="I9" s="53" t="s">
        <v>743</v>
      </c>
    </row>
    <row r="10" customFormat="false" ht="11.25" hidden="false" customHeight="true" outlineLevel="0" collapsed="false">
      <c r="A10" s="53" t="s">
        <v>2190</v>
      </c>
      <c r="B10" s="53" t="s">
        <v>14</v>
      </c>
      <c r="C10" s="53" t="s">
        <v>2227</v>
      </c>
      <c r="D10" s="53" t="s">
        <v>2228</v>
      </c>
      <c r="E10" s="53" t="s">
        <v>2229</v>
      </c>
      <c r="F10" s="53" t="s">
        <v>2230</v>
      </c>
      <c r="I10" s="53" t="s">
        <v>743</v>
      </c>
    </row>
    <row r="11" customFormat="false" ht="11.25" hidden="false" customHeight="true" outlineLevel="0" collapsed="false">
      <c r="A11" s="53" t="s">
        <v>2190</v>
      </c>
      <c r="B11" s="53" t="s">
        <v>14</v>
      </c>
      <c r="C11" s="53" t="s">
        <v>2231</v>
      </c>
      <c r="D11" s="53" t="s">
        <v>2232</v>
      </c>
      <c r="E11" s="53" t="s">
        <v>2233</v>
      </c>
      <c r="F11" s="53" t="s">
        <v>2234</v>
      </c>
      <c r="I11" s="53" t="s">
        <v>743</v>
      </c>
    </row>
    <row r="12" customFormat="false" ht="11.25" hidden="false" customHeight="true" outlineLevel="0" collapsed="false">
      <c r="A12" s="53" t="s">
        <v>2190</v>
      </c>
      <c r="B12" s="53" t="s">
        <v>14</v>
      </c>
      <c r="C12" s="53" t="s">
        <v>2235</v>
      </c>
      <c r="D12" s="53" t="s">
        <v>2236</v>
      </c>
      <c r="E12" s="53" t="s">
        <v>2237</v>
      </c>
      <c r="F12" s="53" t="s">
        <v>2238</v>
      </c>
      <c r="I12" s="53" t="s">
        <v>743</v>
      </c>
    </row>
    <row r="13" customFormat="false" ht="11.25" hidden="false" customHeight="true" outlineLevel="0" collapsed="false">
      <c r="A13" s="53" t="s">
        <v>2190</v>
      </c>
      <c r="B13" s="53" t="s">
        <v>14</v>
      </c>
      <c r="C13" s="53" t="s">
        <v>2239</v>
      </c>
      <c r="D13" s="53" t="s">
        <v>2240</v>
      </c>
      <c r="E13" s="53" t="s">
        <v>2241</v>
      </c>
      <c r="F13" s="53" t="s">
        <v>2242</v>
      </c>
      <c r="I13" s="53" t="s">
        <v>743</v>
      </c>
    </row>
    <row r="14" customFormat="false" ht="11.25" hidden="false" customHeight="true" outlineLevel="0" collapsed="false">
      <c r="A14" s="53" t="s">
        <v>2190</v>
      </c>
      <c r="B14" s="53" t="s">
        <v>14</v>
      </c>
      <c r="C14" s="53" t="s">
        <v>2243</v>
      </c>
      <c r="D14" s="53" t="s">
        <v>2244</v>
      </c>
      <c r="E14" s="53" t="s">
        <v>2245</v>
      </c>
      <c r="F14" s="53" t="s">
        <v>2208</v>
      </c>
      <c r="I14" s="53" t="s">
        <v>743</v>
      </c>
    </row>
    <row r="15" customFormat="false" ht="11.25" hidden="false" customHeight="true" outlineLevel="0" collapsed="false">
      <c r="A15" s="53" t="s">
        <v>2190</v>
      </c>
      <c r="B15" s="53" t="s">
        <v>14</v>
      </c>
      <c r="C15" s="53" t="s">
        <v>2246</v>
      </c>
      <c r="D15" s="53" t="s">
        <v>2247</v>
      </c>
      <c r="E15" s="53" t="s">
        <v>2248</v>
      </c>
      <c r="F15" s="53" t="s">
        <v>2249</v>
      </c>
      <c r="G15" s="53" t="s">
        <v>2250</v>
      </c>
      <c r="I15" s="53" t="s">
        <v>743</v>
      </c>
    </row>
    <row r="16" customFormat="false" ht="11.25" hidden="false" customHeight="true" outlineLevel="0" collapsed="false">
      <c r="A16" s="53" t="s">
        <v>2190</v>
      </c>
      <c r="B16" s="53" t="s">
        <v>14</v>
      </c>
      <c r="C16" s="53" t="s">
        <v>2251</v>
      </c>
      <c r="D16" s="53" t="s">
        <v>2252</v>
      </c>
      <c r="E16" s="53" t="s">
        <v>2253</v>
      </c>
      <c r="F16" s="53" t="s">
        <v>2254</v>
      </c>
      <c r="I16" s="53" t="s">
        <v>743</v>
      </c>
    </row>
    <row r="17" customFormat="false" ht="11.25" hidden="false" customHeight="true" outlineLevel="0" collapsed="false">
      <c r="A17" s="53" t="s">
        <v>2190</v>
      </c>
      <c r="B17" s="53" t="s">
        <v>14</v>
      </c>
      <c r="C17" s="53" t="s">
        <v>2255</v>
      </c>
      <c r="D17" s="53" t="s">
        <v>2256</v>
      </c>
      <c r="E17" s="53" t="s">
        <v>2257</v>
      </c>
      <c r="F17" s="53" t="s">
        <v>2258</v>
      </c>
      <c r="I17" s="53" t="s">
        <v>743</v>
      </c>
    </row>
    <row r="18" customFormat="false" ht="11.25" hidden="false" customHeight="true" outlineLevel="0" collapsed="false">
      <c r="A18" s="53" t="s">
        <v>2190</v>
      </c>
      <c r="B18" s="53" t="s">
        <v>14</v>
      </c>
      <c r="C18" s="53" t="s">
        <v>2259</v>
      </c>
      <c r="D18" s="53" t="s">
        <v>2260</v>
      </c>
      <c r="E18" s="53" t="s">
        <v>2261</v>
      </c>
      <c r="F18" s="53" t="s">
        <v>2262</v>
      </c>
      <c r="I18" s="53" t="s">
        <v>743</v>
      </c>
    </row>
    <row r="19" customFormat="false" ht="11.25" hidden="false" customHeight="true" outlineLevel="0" collapsed="false">
      <c r="A19" s="53" t="s">
        <v>2190</v>
      </c>
      <c r="B19" s="53" t="s">
        <v>14</v>
      </c>
      <c r="C19" s="53" t="s">
        <v>2263</v>
      </c>
      <c r="D19" s="53" t="s">
        <v>2264</v>
      </c>
      <c r="E19" s="53" t="s">
        <v>2265</v>
      </c>
      <c r="F19" s="53" t="s">
        <v>2258</v>
      </c>
      <c r="I19" s="53" t="s">
        <v>743</v>
      </c>
    </row>
    <row r="20" customFormat="false" ht="11.25" hidden="false" customHeight="true" outlineLevel="0" collapsed="false">
      <c r="A20" s="53" t="s">
        <v>2190</v>
      </c>
      <c r="B20" s="53" t="s">
        <v>14</v>
      </c>
      <c r="C20" s="53" t="s">
        <v>2266</v>
      </c>
      <c r="D20" s="53" t="s">
        <v>2267</v>
      </c>
      <c r="E20" s="53" t="s">
        <v>2268</v>
      </c>
      <c r="F20" s="53" t="s">
        <v>2234</v>
      </c>
      <c r="G20" s="53" t="s">
        <v>2269</v>
      </c>
      <c r="I20" s="53" t="s">
        <v>743</v>
      </c>
    </row>
    <row r="21" customFormat="false" ht="11.25" hidden="false" customHeight="true" outlineLevel="0" collapsed="false">
      <c r="A21" s="53" t="s">
        <v>2190</v>
      </c>
      <c r="B21" s="53" t="s">
        <v>14</v>
      </c>
      <c r="C21" s="53" t="s">
        <v>2270</v>
      </c>
      <c r="D21" s="53" t="s">
        <v>2271</v>
      </c>
      <c r="E21" s="53" t="s">
        <v>2272</v>
      </c>
      <c r="F21" s="53" t="s">
        <v>2226</v>
      </c>
      <c r="I21" s="53" t="s">
        <v>743</v>
      </c>
    </row>
    <row r="22" customFormat="false" ht="11.25" hidden="false" customHeight="true" outlineLevel="0" collapsed="false">
      <c r="A22" s="53" t="s">
        <v>2190</v>
      </c>
      <c r="B22" s="53" t="s">
        <v>14</v>
      </c>
      <c r="C22" s="53" t="s">
        <v>2273</v>
      </c>
      <c r="D22" s="53" t="s">
        <v>2274</v>
      </c>
      <c r="E22" s="53" t="s">
        <v>2275</v>
      </c>
      <c r="F22" s="53" t="s">
        <v>2226</v>
      </c>
      <c r="I22" s="53" t="s">
        <v>743</v>
      </c>
    </row>
    <row r="23" customFormat="false" ht="11.25" hidden="false" customHeight="true" outlineLevel="0" collapsed="false">
      <c r="A23" s="53" t="s">
        <v>2190</v>
      </c>
      <c r="B23" s="53" t="s">
        <v>14</v>
      </c>
      <c r="C23" s="53" t="s">
        <v>2276</v>
      </c>
      <c r="D23" s="53" t="s">
        <v>2277</v>
      </c>
      <c r="E23" s="53" t="s">
        <v>2278</v>
      </c>
      <c r="F23" s="53" t="s">
        <v>48</v>
      </c>
      <c r="G23" s="53" t="s">
        <v>2279</v>
      </c>
      <c r="I23" s="53" t="s">
        <v>743</v>
      </c>
    </row>
    <row r="24" customFormat="false" ht="11.25" hidden="false" customHeight="true" outlineLevel="0" collapsed="false">
      <c r="A24" s="53" t="s">
        <v>2190</v>
      </c>
      <c r="B24" s="53" t="s">
        <v>14</v>
      </c>
      <c r="C24" s="53" t="s">
        <v>2280</v>
      </c>
      <c r="D24" s="53" t="s">
        <v>2281</v>
      </c>
      <c r="E24" s="53" t="s">
        <v>2282</v>
      </c>
      <c r="F24" s="53" t="s">
        <v>48</v>
      </c>
      <c r="I24" s="53" t="s">
        <v>743</v>
      </c>
    </row>
    <row r="25" customFormat="false" ht="11.25" hidden="false" customHeight="true" outlineLevel="0" collapsed="false">
      <c r="A25" s="53" t="s">
        <v>2190</v>
      </c>
      <c r="B25" s="53" t="s">
        <v>14</v>
      </c>
      <c r="C25" s="53" t="s">
        <v>2283</v>
      </c>
      <c r="D25" s="53" t="s">
        <v>2284</v>
      </c>
      <c r="E25" s="53" t="s">
        <v>2285</v>
      </c>
      <c r="F25" s="53" t="s">
        <v>2286</v>
      </c>
      <c r="I25" s="53" t="s">
        <v>743</v>
      </c>
    </row>
    <row r="26" customFormat="false" ht="11.25" hidden="false" customHeight="true" outlineLevel="0" collapsed="false">
      <c r="A26" s="53" t="s">
        <v>2190</v>
      </c>
      <c r="B26" s="53" t="s">
        <v>14</v>
      </c>
      <c r="C26" s="53" t="s">
        <v>2287</v>
      </c>
      <c r="D26" s="53" t="s">
        <v>2288</v>
      </c>
      <c r="E26" s="53" t="s">
        <v>2289</v>
      </c>
      <c r="F26" s="53" t="s">
        <v>2208</v>
      </c>
      <c r="I26" s="53" t="s">
        <v>743</v>
      </c>
    </row>
    <row r="27" customFormat="false" ht="11.25" hidden="false" customHeight="true" outlineLevel="0" collapsed="false">
      <c r="A27" s="53" t="s">
        <v>2190</v>
      </c>
      <c r="B27" s="53" t="s">
        <v>14</v>
      </c>
      <c r="C27" s="53" t="s">
        <v>2290</v>
      </c>
      <c r="D27" s="53" t="s">
        <v>2291</v>
      </c>
      <c r="E27" s="53" t="s">
        <v>2292</v>
      </c>
      <c r="F27" s="53" t="s">
        <v>2293</v>
      </c>
      <c r="H27" s="53" t="s">
        <v>2294</v>
      </c>
      <c r="I27" s="53" t="s">
        <v>743</v>
      </c>
    </row>
    <row r="28" customFormat="false" ht="11.25" hidden="false" customHeight="true" outlineLevel="0" collapsed="false">
      <c r="A28" s="53" t="s">
        <v>2190</v>
      </c>
      <c r="B28" s="53" t="s">
        <v>14</v>
      </c>
      <c r="C28" s="53" t="s">
        <v>2295</v>
      </c>
      <c r="D28" s="53" t="s">
        <v>2296</v>
      </c>
      <c r="E28" s="53" t="s">
        <v>2297</v>
      </c>
      <c r="F28" s="53" t="s">
        <v>2249</v>
      </c>
      <c r="H28" s="53" t="s">
        <v>2298</v>
      </c>
      <c r="I28" s="53" t="s">
        <v>743</v>
      </c>
    </row>
    <row r="29" customFormat="false" ht="11.25" hidden="false" customHeight="true" outlineLevel="0" collapsed="false">
      <c r="A29" s="53" t="s">
        <v>2190</v>
      </c>
      <c r="B29" s="53" t="s">
        <v>14</v>
      </c>
      <c r="C29" s="53" t="s">
        <v>2299</v>
      </c>
      <c r="D29" s="53" t="s">
        <v>2300</v>
      </c>
      <c r="E29" s="53" t="s">
        <v>2301</v>
      </c>
      <c r="F29" s="53" t="s">
        <v>2254</v>
      </c>
      <c r="I29" s="53" t="s">
        <v>743</v>
      </c>
    </row>
    <row r="30" customFormat="false" ht="11.25" hidden="false" customHeight="true" outlineLevel="0" collapsed="false">
      <c r="A30" s="53" t="s">
        <v>2190</v>
      </c>
      <c r="B30" s="53" t="s">
        <v>14</v>
      </c>
      <c r="C30" s="53" t="s">
        <v>2302</v>
      </c>
      <c r="D30" s="53" t="s">
        <v>2303</v>
      </c>
      <c r="E30" s="53" t="s">
        <v>2304</v>
      </c>
      <c r="F30" s="53" t="s">
        <v>48</v>
      </c>
      <c r="I30" s="53" t="s">
        <v>743</v>
      </c>
    </row>
    <row r="31" customFormat="false" ht="11.25" hidden="false" customHeight="true" outlineLevel="0" collapsed="false">
      <c r="A31" s="53" t="s">
        <v>2190</v>
      </c>
      <c r="B31" s="53" t="s">
        <v>14</v>
      </c>
      <c r="C31" s="53" t="s">
        <v>2305</v>
      </c>
      <c r="D31" s="53" t="s">
        <v>2306</v>
      </c>
      <c r="E31" s="53" t="s">
        <v>2307</v>
      </c>
      <c r="F31" s="53" t="s">
        <v>2258</v>
      </c>
      <c r="H31" s="53" t="s">
        <v>2308</v>
      </c>
      <c r="I31" s="53" t="s">
        <v>743</v>
      </c>
    </row>
    <row r="32" customFormat="false" ht="11.25" hidden="false" customHeight="true" outlineLevel="0" collapsed="false">
      <c r="A32" s="53" t="s">
        <v>2190</v>
      </c>
      <c r="B32" s="53" t="s">
        <v>14</v>
      </c>
      <c r="C32" s="53" t="s">
        <v>2309</v>
      </c>
      <c r="D32" s="53" t="s">
        <v>2310</v>
      </c>
      <c r="E32" s="53" t="s">
        <v>2307</v>
      </c>
      <c r="F32" s="53" t="s">
        <v>2311</v>
      </c>
      <c r="H32" s="53" t="s">
        <v>2312</v>
      </c>
      <c r="I32" s="53" t="s">
        <v>743</v>
      </c>
    </row>
    <row r="33" customFormat="false" ht="11.25" hidden="false" customHeight="true" outlineLevel="0" collapsed="false">
      <c r="A33" s="53" t="s">
        <v>2190</v>
      </c>
      <c r="B33" s="53" t="s">
        <v>14</v>
      </c>
      <c r="C33" s="53" t="s">
        <v>2313</v>
      </c>
      <c r="D33" s="53" t="s">
        <v>2314</v>
      </c>
      <c r="E33" s="53" t="s">
        <v>2307</v>
      </c>
      <c r="F33" s="53" t="s">
        <v>2315</v>
      </c>
      <c r="H33" s="53" t="s">
        <v>2312</v>
      </c>
      <c r="I33" s="53" t="s">
        <v>743</v>
      </c>
    </row>
    <row r="34" customFormat="false" ht="11.25" hidden="false" customHeight="true" outlineLevel="0" collapsed="false">
      <c r="A34" s="53" t="s">
        <v>2190</v>
      </c>
      <c r="B34" s="53" t="s">
        <v>14</v>
      </c>
      <c r="C34" s="53" t="s">
        <v>2316</v>
      </c>
      <c r="D34" s="53" t="s">
        <v>2317</v>
      </c>
      <c r="E34" s="53" t="s">
        <v>2307</v>
      </c>
      <c r="F34" s="53" t="s">
        <v>2318</v>
      </c>
      <c r="H34" s="53" t="s">
        <v>2312</v>
      </c>
      <c r="I34" s="53" t="s">
        <v>743</v>
      </c>
    </row>
    <row r="35" customFormat="false" ht="11.25" hidden="false" customHeight="true" outlineLevel="0" collapsed="false">
      <c r="A35" s="53" t="s">
        <v>2190</v>
      </c>
      <c r="B35" s="53" t="s">
        <v>14</v>
      </c>
      <c r="C35" s="53" t="s">
        <v>2319</v>
      </c>
      <c r="D35" s="53" t="s">
        <v>2320</v>
      </c>
      <c r="E35" s="53" t="s">
        <v>2307</v>
      </c>
      <c r="F35" s="53" t="s">
        <v>2321</v>
      </c>
      <c r="H35" s="53" t="s">
        <v>2312</v>
      </c>
      <c r="I35" s="53" t="s">
        <v>743</v>
      </c>
    </row>
    <row r="36" customFormat="false" ht="11.25" hidden="false" customHeight="true" outlineLevel="0" collapsed="false">
      <c r="A36" s="53" t="s">
        <v>2190</v>
      </c>
      <c r="B36" s="53" t="s">
        <v>14</v>
      </c>
      <c r="C36" s="53" t="s">
        <v>2322</v>
      </c>
      <c r="D36" s="53" t="s">
        <v>2323</v>
      </c>
      <c r="E36" s="53" t="s">
        <v>2307</v>
      </c>
      <c r="F36" s="53" t="s">
        <v>2324</v>
      </c>
      <c r="H36" s="53" t="s">
        <v>2312</v>
      </c>
      <c r="I36" s="53" t="s">
        <v>743</v>
      </c>
    </row>
    <row r="37" customFormat="false" ht="11.25" hidden="false" customHeight="true" outlineLevel="0" collapsed="false">
      <c r="A37" s="53" t="s">
        <v>2190</v>
      </c>
      <c r="B37" s="53" t="s">
        <v>14</v>
      </c>
      <c r="C37" s="53" t="s">
        <v>2325</v>
      </c>
      <c r="D37" s="53" t="s">
        <v>2326</v>
      </c>
      <c r="E37" s="53" t="s">
        <v>2307</v>
      </c>
      <c r="F37" s="53" t="s">
        <v>2327</v>
      </c>
      <c r="H37" s="53" t="s">
        <v>2312</v>
      </c>
      <c r="I37" s="53" t="s">
        <v>743</v>
      </c>
    </row>
    <row r="38" customFormat="false" ht="11.25" hidden="false" customHeight="true" outlineLevel="0" collapsed="false">
      <c r="A38" s="53" t="s">
        <v>2190</v>
      </c>
      <c r="B38" s="53" t="s">
        <v>14</v>
      </c>
      <c r="C38" s="53" t="s">
        <v>2328</v>
      </c>
      <c r="D38" s="53" t="s">
        <v>2329</v>
      </c>
      <c r="E38" s="53" t="s">
        <v>2307</v>
      </c>
      <c r="F38" s="53" t="s">
        <v>2330</v>
      </c>
      <c r="H38" s="53" t="s">
        <v>2312</v>
      </c>
      <c r="I38" s="53" t="s">
        <v>743</v>
      </c>
    </row>
    <row r="39" customFormat="false" ht="11.25" hidden="false" customHeight="true" outlineLevel="0" collapsed="false">
      <c r="A39" s="53" t="s">
        <v>2190</v>
      </c>
      <c r="B39" s="53" t="s">
        <v>14</v>
      </c>
      <c r="C39" s="53" t="s">
        <v>2331</v>
      </c>
      <c r="D39" s="53" t="s">
        <v>2332</v>
      </c>
      <c r="E39" s="53" t="s">
        <v>2307</v>
      </c>
      <c r="F39" s="53" t="s">
        <v>2234</v>
      </c>
      <c r="H39" s="53" t="s">
        <v>2312</v>
      </c>
      <c r="I39" s="53" t="s">
        <v>743</v>
      </c>
    </row>
    <row r="40" customFormat="false" ht="11.25" hidden="false" customHeight="true" outlineLevel="0" collapsed="false">
      <c r="A40" s="53" t="s">
        <v>2190</v>
      </c>
      <c r="B40" s="53" t="s">
        <v>14</v>
      </c>
      <c r="C40" s="53" t="s">
        <v>2333</v>
      </c>
      <c r="D40" s="53" t="s">
        <v>2334</v>
      </c>
      <c r="E40" s="53" t="s">
        <v>2307</v>
      </c>
      <c r="F40" s="53" t="s">
        <v>2335</v>
      </c>
      <c r="H40" s="53" t="s">
        <v>2312</v>
      </c>
      <c r="I40" s="53" t="s">
        <v>743</v>
      </c>
    </row>
    <row r="41" customFormat="false" ht="11.25" hidden="false" customHeight="true" outlineLevel="0" collapsed="false">
      <c r="A41" s="53" t="s">
        <v>2190</v>
      </c>
      <c r="B41" s="53" t="s">
        <v>14</v>
      </c>
      <c r="C41" s="53" t="s">
        <v>2336</v>
      </c>
      <c r="D41" s="53" t="s">
        <v>2337</v>
      </c>
      <c r="E41" s="53" t="s">
        <v>2307</v>
      </c>
      <c r="F41" s="53" t="s">
        <v>2338</v>
      </c>
      <c r="H41" s="53" t="s">
        <v>2312</v>
      </c>
      <c r="I41" s="53" t="s">
        <v>743</v>
      </c>
    </row>
    <row r="42" customFormat="false" ht="11.25" hidden="false" customHeight="true" outlineLevel="0" collapsed="false">
      <c r="A42" s="53" t="s">
        <v>2190</v>
      </c>
      <c r="B42" s="53" t="s">
        <v>14</v>
      </c>
      <c r="C42" s="53" t="s">
        <v>2339</v>
      </c>
      <c r="D42" s="53" t="s">
        <v>2340</v>
      </c>
      <c r="E42" s="53" t="s">
        <v>2307</v>
      </c>
      <c r="F42" s="53" t="s">
        <v>2341</v>
      </c>
      <c r="H42" s="53" t="s">
        <v>2312</v>
      </c>
      <c r="I42" s="53" t="s">
        <v>743</v>
      </c>
    </row>
    <row r="43" customFormat="false" ht="11.25" hidden="false" customHeight="true" outlineLevel="0" collapsed="false">
      <c r="A43" s="53" t="s">
        <v>2190</v>
      </c>
      <c r="B43" s="53" t="s">
        <v>14</v>
      </c>
      <c r="C43" s="53" t="s">
        <v>2342</v>
      </c>
      <c r="D43" s="53" t="s">
        <v>2343</v>
      </c>
      <c r="E43" s="53" t="s">
        <v>2307</v>
      </c>
      <c r="F43" s="53" t="s">
        <v>2344</v>
      </c>
      <c r="H43" s="53" t="s">
        <v>2345</v>
      </c>
      <c r="I43" s="53" t="s">
        <v>743</v>
      </c>
    </row>
    <row r="44" customFormat="false" ht="11.25" hidden="false" customHeight="true" outlineLevel="0" collapsed="false">
      <c r="A44" s="53" t="s">
        <v>2190</v>
      </c>
      <c r="B44" s="53" t="s">
        <v>14</v>
      </c>
      <c r="C44" s="53" t="s">
        <v>2346</v>
      </c>
      <c r="D44" s="53" t="s">
        <v>2347</v>
      </c>
      <c r="E44" s="53" t="s">
        <v>2307</v>
      </c>
      <c r="F44" s="53" t="s">
        <v>2348</v>
      </c>
      <c r="H44" s="53" t="s">
        <v>2312</v>
      </c>
      <c r="I44" s="53" t="s">
        <v>743</v>
      </c>
    </row>
    <row r="45" customFormat="false" ht="11.25" hidden="false" customHeight="true" outlineLevel="0" collapsed="false">
      <c r="A45" s="53" t="s">
        <v>2190</v>
      </c>
      <c r="B45" s="53" t="s">
        <v>14</v>
      </c>
      <c r="C45" s="53" t="s">
        <v>2349</v>
      </c>
      <c r="D45" s="53" t="s">
        <v>2350</v>
      </c>
      <c r="E45" s="53" t="s">
        <v>2307</v>
      </c>
      <c r="F45" s="53" t="s">
        <v>2351</v>
      </c>
      <c r="H45" s="53" t="s">
        <v>2312</v>
      </c>
      <c r="I45" s="53" t="s">
        <v>743</v>
      </c>
    </row>
    <row r="46" customFormat="false" ht="11.25" hidden="false" customHeight="true" outlineLevel="0" collapsed="false">
      <c r="A46" s="53" t="s">
        <v>2190</v>
      </c>
      <c r="B46" s="53" t="s">
        <v>14</v>
      </c>
      <c r="C46" s="53" t="s">
        <v>2352</v>
      </c>
      <c r="D46" s="53" t="s">
        <v>2353</v>
      </c>
      <c r="E46" s="53" t="s">
        <v>2307</v>
      </c>
      <c r="F46" s="53" t="s">
        <v>2354</v>
      </c>
      <c r="H46" s="53" t="s">
        <v>2312</v>
      </c>
      <c r="I46" s="53" t="s">
        <v>743</v>
      </c>
    </row>
    <row r="47" customFormat="false" ht="11.25" hidden="false" customHeight="true" outlineLevel="0" collapsed="false">
      <c r="A47" s="53" t="s">
        <v>2190</v>
      </c>
      <c r="B47" s="53" t="s">
        <v>14</v>
      </c>
      <c r="C47" s="53" t="s">
        <v>2355</v>
      </c>
      <c r="D47" s="53" t="s">
        <v>2356</v>
      </c>
      <c r="E47" s="53" t="s">
        <v>2307</v>
      </c>
      <c r="F47" s="53" t="s">
        <v>2357</v>
      </c>
      <c r="H47" s="53" t="s">
        <v>2312</v>
      </c>
      <c r="I47" s="53" t="s">
        <v>743</v>
      </c>
    </row>
    <row r="48" customFormat="false" ht="11.25" hidden="false" customHeight="true" outlineLevel="0" collapsed="false">
      <c r="A48" s="53" t="s">
        <v>2190</v>
      </c>
      <c r="B48" s="53" t="s">
        <v>14</v>
      </c>
      <c r="C48" s="53" t="s">
        <v>2358</v>
      </c>
      <c r="D48" s="53" t="s">
        <v>2359</v>
      </c>
      <c r="E48" s="53" t="s">
        <v>2307</v>
      </c>
      <c r="F48" s="53" t="s">
        <v>2360</v>
      </c>
      <c r="H48" s="53" t="s">
        <v>2312</v>
      </c>
      <c r="I48" s="53" t="s">
        <v>743</v>
      </c>
    </row>
    <row r="49" customFormat="false" ht="11.25" hidden="false" customHeight="true" outlineLevel="0" collapsed="false">
      <c r="A49" s="53" t="s">
        <v>2190</v>
      </c>
      <c r="B49" s="53" t="s">
        <v>14</v>
      </c>
      <c r="C49" s="53" t="s">
        <v>2361</v>
      </c>
      <c r="D49" s="53" t="s">
        <v>2362</v>
      </c>
      <c r="E49" s="53" t="s">
        <v>2307</v>
      </c>
      <c r="F49" s="53" t="s">
        <v>2363</v>
      </c>
      <c r="H49" s="53" t="s">
        <v>2312</v>
      </c>
      <c r="I49" s="53" t="s">
        <v>743</v>
      </c>
    </row>
    <row r="50" customFormat="false" ht="11.25" hidden="false" customHeight="true" outlineLevel="0" collapsed="false">
      <c r="A50" s="53" t="s">
        <v>2190</v>
      </c>
      <c r="B50" s="53" t="s">
        <v>14</v>
      </c>
      <c r="C50" s="53" t="s">
        <v>2364</v>
      </c>
      <c r="D50" s="53" t="s">
        <v>2365</v>
      </c>
      <c r="E50" s="53" t="s">
        <v>2307</v>
      </c>
      <c r="F50" s="53" t="s">
        <v>2366</v>
      </c>
      <c r="H50" s="53" t="s">
        <v>2312</v>
      </c>
      <c r="I50" s="53" t="s">
        <v>743</v>
      </c>
    </row>
    <row r="51" customFormat="false" ht="11.25" hidden="false" customHeight="true" outlineLevel="0" collapsed="false">
      <c r="A51" s="53" t="s">
        <v>2190</v>
      </c>
      <c r="B51" s="53" t="s">
        <v>14</v>
      </c>
      <c r="C51" s="53" t="s">
        <v>2367</v>
      </c>
      <c r="D51" s="53" t="s">
        <v>2368</v>
      </c>
      <c r="E51" s="53" t="s">
        <v>2307</v>
      </c>
      <c r="F51" s="53" t="s">
        <v>2369</v>
      </c>
      <c r="H51" s="53" t="s">
        <v>2312</v>
      </c>
      <c r="I51" s="53" t="s">
        <v>743</v>
      </c>
    </row>
    <row r="52" customFormat="false" ht="11.25" hidden="false" customHeight="true" outlineLevel="0" collapsed="false">
      <c r="A52" s="53" t="s">
        <v>2190</v>
      </c>
      <c r="B52" s="53" t="s">
        <v>14</v>
      </c>
      <c r="C52" s="53" t="s">
        <v>2370</v>
      </c>
      <c r="D52" s="53" t="s">
        <v>2371</v>
      </c>
      <c r="E52" s="53" t="s">
        <v>2307</v>
      </c>
      <c r="F52" s="53" t="s">
        <v>2372</v>
      </c>
      <c r="H52" s="53" t="s">
        <v>2312</v>
      </c>
      <c r="I52" s="53" t="s">
        <v>743</v>
      </c>
    </row>
    <row r="53" customFormat="false" ht="11.25" hidden="false" customHeight="true" outlineLevel="0" collapsed="false">
      <c r="A53" s="53" t="s">
        <v>2190</v>
      </c>
      <c r="B53" s="53" t="s">
        <v>14</v>
      </c>
      <c r="C53" s="53" t="s">
        <v>2373</v>
      </c>
      <c r="D53" s="53" t="s">
        <v>2374</v>
      </c>
      <c r="E53" s="53" t="s">
        <v>2375</v>
      </c>
      <c r="F53" s="53" t="s">
        <v>2208</v>
      </c>
      <c r="H53" s="53" t="s">
        <v>2376</v>
      </c>
      <c r="I53" s="53" t="s">
        <v>743</v>
      </c>
    </row>
    <row r="54" customFormat="false" ht="11.25" hidden="false" customHeight="true" outlineLevel="0" collapsed="false">
      <c r="A54" s="53" t="s">
        <v>2190</v>
      </c>
      <c r="B54" s="53" t="s">
        <v>14</v>
      </c>
      <c r="C54" s="53" t="s">
        <v>2377</v>
      </c>
      <c r="D54" s="53" t="s">
        <v>2378</v>
      </c>
      <c r="E54" s="53" t="s">
        <v>2379</v>
      </c>
      <c r="F54" s="53" t="s">
        <v>2380</v>
      </c>
      <c r="H54" s="53" t="s">
        <v>2381</v>
      </c>
      <c r="I54" s="53" t="s">
        <v>743</v>
      </c>
    </row>
    <row r="55" customFormat="false" ht="11.25" hidden="false" customHeight="true" outlineLevel="0" collapsed="false">
      <c r="A55" s="53" t="s">
        <v>2190</v>
      </c>
      <c r="B55" s="53" t="s">
        <v>14</v>
      </c>
      <c r="C55" s="53" t="s">
        <v>2382</v>
      </c>
      <c r="D55" s="53" t="s">
        <v>2383</v>
      </c>
      <c r="E55" s="53" t="s">
        <v>2384</v>
      </c>
      <c r="F55" s="53" t="s">
        <v>2222</v>
      </c>
      <c r="G55" s="53" t="s">
        <v>2385</v>
      </c>
      <c r="I55" s="53" t="s">
        <v>743</v>
      </c>
    </row>
    <row r="56" customFormat="false" ht="11.25" hidden="false" customHeight="true" outlineLevel="0" collapsed="false">
      <c r="A56" s="53" t="s">
        <v>2190</v>
      </c>
      <c r="B56" s="53" t="s">
        <v>14</v>
      </c>
      <c r="C56" s="53" t="s">
        <v>2386</v>
      </c>
      <c r="D56" s="53" t="s">
        <v>2387</v>
      </c>
      <c r="E56" s="53" t="s">
        <v>2388</v>
      </c>
      <c r="F56" s="53" t="s">
        <v>2389</v>
      </c>
      <c r="I56" s="53" t="s">
        <v>743</v>
      </c>
    </row>
    <row r="57" customFormat="false" ht="11.25" hidden="false" customHeight="true" outlineLevel="0" collapsed="false">
      <c r="A57" s="53" t="s">
        <v>2190</v>
      </c>
      <c r="B57" s="53" t="s">
        <v>14</v>
      </c>
      <c r="C57" s="53" t="s">
        <v>2390</v>
      </c>
      <c r="D57" s="53" t="s">
        <v>2391</v>
      </c>
      <c r="E57" s="53" t="s">
        <v>2392</v>
      </c>
      <c r="F57" s="53" t="s">
        <v>48</v>
      </c>
      <c r="H57" s="53" t="s">
        <v>2393</v>
      </c>
      <c r="I57" s="53" t="s">
        <v>743</v>
      </c>
    </row>
    <row r="58" customFormat="false" ht="11.25" hidden="false" customHeight="true" outlineLevel="0" collapsed="false">
      <c r="A58" s="53" t="s">
        <v>2190</v>
      </c>
      <c r="B58" s="53" t="s">
        <v>14</v>
      </c>
      <c r="C58" s="53" t="s">
        <v>2394</v>
      </c>
      <c r="D58" s="53" t="s">
        <v>2391</v>
      </c>
      <c r="E58" s="53" t="s">
        <v>2392</v>
      </c>
      <c r="F58" s="53" t="s">
        <v>2234</v>
      </c>
      <c r="I58" s="53" t="s">
        <v>743</v>
      </c>
    </row>
    <row r="59" customFormat="false" ht="11.25" hidden="false" customHeight="true" outlineLevel="0" collapsed="false">
      <c r="A59" s="53" t="s">
        <v>2190</v>
      </c>
      <c r="B59" s="53" t="s">
        <v>14</v>
      </c>
      <c r="C59" s="53" t="s">
        <v>2395</v>
      </c>
      <c r="D59" s="53" t="s">
        <v>2396</v>
      </c>
      <c r="E59" s="53" t="s">
        <v>2397</v>
      </c>
      <c r="F59" s="53" t="s">
        <v>2254</v>
      </c>
      <c r="H59" s="53" t="s">
        <v>2398</v>
      </c>
      <c r="I59" s="53" t="s">
        <v>743</v>
      </c>
    </row>
    <row r="60" customFormat="false" ht="11.25" hidden="false" customHeight="true" outlineLevel="0" collapsed="false">
      <c r="A60" s="53" t="s">
        <v>2190</v>
      </c>
      <c r="B60" s="53" t="s">
        <v>14</v>
      </c>
      <c r="C60" s="53" t="s">
        <v>2399</v>
      </c>
      <c r="D60" s="53" t="s">
        <v>2400</v>
      </c>
      <c r="E60" s="53" t="s">
        <v>2401</v>
      </c>
      <c r="F60" s="53" t="s">
        <v>2234</v>
      </c>
      <c r="H60" s="53" t="s">
        <v>2298</v>
      </c>
      <c r="I60" s="53" t="s">
        <v>743</v>
      </c>
    </row>
    <row r="61" customFormat="false" ht="11.25" hidden="false" customHeight="true" outlineLevel="0" collapsed="false">
      <c r="A61" s="53" t="s">
        <v>2190</v>
      </c>
      <c r="B61" s="53" t="s">
        <v>14</v>
      </c>
      <c r="C61" s="53" t="s">
        <v>2402</v>
      </c>
      <c r="D61" s="53" t="s">
        <v>2403</v>
      </c>
      <c r="E61" s="53" t="s">
        <v>2404</v>
      </c>
      <c r="F61" s="53" t="s">
        <v>2405</v>
      </c>
      <c r="I61" s="53" t="s">
        <v>743</v>
      </c>
    </row>
    <row r="62" customFormat="false" ht="11.25" hidden="false" customHeight="true" outlineLevel="0" collapsed="false">
      <c r="A62" s="53" t="s">
        <v>2190</v>
      </c>
      <c r="B62" s="53" t="s">
        <v>14</v>
      </c>
      <c r="C62" s="53" t="s">
        <v>2406</v>
      </c>
      <c r="D62" s="53" t="s">
        <v>2407</v>
      </c>
      <c r="E62" s="53" t="s">
        <v>2408</v>
      </c>
      <c r="F62" s="53" t="s">
        <v>2409</v>
      </c>
      <c r="I62" s="53" t="s">
        <v>743</v>
      </c>
    </row>
    <row r="63" customFormat="false" ht="11.25" hidden="false" customHeight="true" outlineLevel="0" collapsed="false">
      <c r="A63" s="53" t="s">
        <v>2190</v>
      </c>
      <c r="B63" s="53" t="s">
        <v>14</v>
      </c>
      <c r="C63" s="53" t="s">
        <v>2410</v>
      </c>
      <c r="D63" s="53" t="s">
        <v>2411</v>
      </c>
      <c r="E63" s="53" t="s">
        <v>2412</v>
      </c>
      <c r="F63" s="53" t="s">
        <v>2409</v>
      </c>
      <c r="H63" s="53" t="s">
        <v>2413</v>
      </c>
      <c r="I63" s="53" t="s">
        <v>743</v>
      </c>
    </row>
    <row r="64" customFormat="false" ht="11.25" hidden="false" customHeight="true" outlineLevel="0" collapsed="false">
      <c r="A64" s="53" t="s">
        <v>2190</v>
      </c>
      <c r="B64" s="53" t="s">
        <v>14</v>
      </c>
      <c r="C64" s="53" t="s">
        <v>2414</v>
      </c>
      <c r="D64" s="53" t="s">
        <v>2415</v>
      </c>
      <c r="E64" s="53" t="s">
        <v>2416</v>
      </c>
      <c r="F64" s="53" t="s">
        <v>2222</v>
      </c>
      <c r="H64" s="53" t="s">
        <v>2398</v>
      </c>
      <c r="I64" s="53" t="s">
        <v>743</v>
      </c>
    </row>
    <row r="65" customFormat="false" ht="11.25" hidden="false" customHeight="true" outlineLevel="0" collapsed="false">
      <c r="A65" s="53" t="s">
        <v>2190</v>
      </c>
      <c r="B65" s="53" t="s">
        <v>14</v>
      </c>
      <c r="C65" s="53" t="s">
        <v>2417</v>
      </c>
      <c r="D65" s="53" t="s">
        <v>2418</v>
      </c>
      <c r="E65" s="53" t="s">
        <v>2419</v>
      </c>
      <c r="F65" s="53" t="s">
        <v>2254</v>
      </c>
      <c r="H65" s="53" t="s">
        <v>2420</v>
      </c>
      <c r="I65" s="53" t="s">
        <v>743</v>
      </c>
    </row>
    <row r="66" customFormat="false" ht="11.25" hidden="false" customHeight="true" outlineLevel="0" collapsed="false">
      <c r="A66" s="53" t="s">
        <v>2190</v>
      </c>
      <c r="B66" s="53" t="s">
        <v>14</v>
      </c>
      <c r="C66" s="53" t="s">
        <v>2421</v>
      </c>
      <c r="D66" s="53" t="s">
        <v>2422</v>
      </c>
      <c r="E66" s="53" t="s">
        <v>2423</v>
      </c>
      <c r="F66" s="53" t="s">
        <v>2254</v>
      </c>
      <c r="I66" s="53" t="s">
        <v>743</v>
      </c>
    </row>
    <row r="67" customFormat="false" ht="11.25" hidden="false" customHeight="true" outlineLevel="0" collapsed="false">
      <c r="A67" s="53" t="s">
        <v>2190</v>
      </c>
      <c r="B67" s="53" t="s">
        <v>14</v>
      </c>
      <c r="C67" s="53" t="s">
        <v>2424</v>
      </c>
      <c r="D67" s="53" t="s">
        <v>2425</v>
      </c>
      <c r="E67" s="53" t="s">
        <v>2426</v>
      </c>
      <c r="F67" s="53" t="s">
        <v>2427</v>
      </c>
      <c r="H67" s="53" t="s">
        <v>2428</v>
      </c>
      <c r="I67" s="53" t="s">
        <v>743</v>
      </c>
    </row>
    <row r="68" customFormat="false" ht="11.25" hidden="false" customHeight="true" outlineLevel="0" collapsed="false">
      <c r="A68" s="53" t="s">
        <v>2190</v>
      </c>
      <c r="B68" s="53" t="s">
        <v>14</v>
      </c>
      <c r="C68" s="53" t="s">
        <v>2429</v>
      </c>
      <c r="D68" s="53" t="s">
        <v>2430</v>
      </c>
      <c r="E68" s="53" t="s">
        <v>2431</v>
      </c>
      <c r="F68" s="53" t="s">
        <v>2254</v>
      </c>
      <c r="H68" s="53" t="s">
        <v>2432</v>
      </c>
      <c r="I68" s="53" t="s">
        <v>743</v>
      </c>
    </row>
    <row r="69" customFormat="false" ht="11.25" hidden="false" customHeight="true" outlineLevel="0" collapsed="false">
      <c r="A69" s="53" t="s">
        <v>2190</v>
      </c>
      <c r="B69" s="53" t="s">
        <v>14</v>
      </c>
      <c r="C69" s="53" t="s">
        <v>2433</v>
      </c>
      <c r="D69" s="53" t="s">
        <v>2434</v>
      </c>
      <c r="E69" s="53" t="s">
        <v>2435</v>
      </c>
      <c r="F69" s="53" t="s">
        <v>48</v>
      </c>
      <c r="H69" s="53" t="s">
        <v>2214</v>
      </c>
      <c r="I69" s="53" t="s">
        <v>743</v>
      </c>
    </row>
    <row r="70" customFormat="false" ht="11.25" hidden="false" customHeight="true" outlineLevel="0" collapsed="false">
      <c r="A70" s="53" t="s">
        <v>2190</v>
      </c>
      <c r="B70" s="53" t="s">
        <v>14</v>
      </c>
      <c r="C70" s="53" t="s">
        <v>2436</v>
      </c>
      <c r="D70" s="53" t="s">
        <v>2437</v>
      </c>
      <c r="E70" s="53" t="s">
        <v>2438</v>
      </c>
      <c r="F70" s="53" t="s">
        <v>48</v>
      </c>
      <c r="I70" s="53" t="s">
        <v>743</v>
      </c>
    </row>
    <row r="71" customFormat="false" ht="11.25" hidden="false" customHeight="true" outlineLevel="0" collapsed="false">
      <c r="A71" s="53" t="s">
        <v>2190</v>
      </c>
      <c r="B71" s="53" t="s">
        <v>14</v>
      </c>
      <c r="C71" s="53" t="s">
        <v>2439</v>
      </c>
      <c r="D71" s="53" t="s">
        <v>2440</v>
      </c>
      <c r="E71" s="53" t="s">
        <v>2441</v>
      </c>
      <c r="F71" s="53" t="s">
        <v>2442</v>
      </c>
      <c r="I71" s="53" t="s">
        <v>743</v>
      </c>
    </row>
    <row r="72" customFormat="false" ht="11.25" hidden="false" customHeight="true" outlineLevel="0" collapsed="false">
      <c r="A72" s="53" t="s">
        <v>2190</v>
      </c>
      <c r="B72" s="53" t="s">
        <v>14</v>
      </c>
      <c r="C72" s="53" t="s">
        <v>2443</v>
      </c>
      <c r="D72" s="53" t="s">
        <v>2444</v>
      </c>
      <c r="E72" s="53" t="s">
        <v>2445</v>
      </c>
      <c r="F72" s="53" t="s">
        <v>2446</v>
      </c>
      <c r="H72" s="53" t="s">
        <v>2447</v>
      </c>
      <c r="I72" s="53" t="s">
        <v>743</v>
      </c>
    </row>
    <row r="73" customFormat="false" ht="11.25" hidden="false" customHeight="true" outlineLevel="0" collapsed="false">
      <c r="A73" s="53" t="s">
        <v>2190</v>
      </c>
      <c r="B73" s="53" t="s">
        <v>14</v>
      </c>
      <c r="C73" s="53" t="s">
        <v>2448</v>
      </c>
      <c r="D73" s="53" t="s">
        <v>2449</v>
      </c>
      <c r="E73" s="53" t="s">
        <v>2450</v>
      </c>
      <c r="F73" s="53" t="s">
        <v>2254</v>
      </c>
      <c r="G73" s="53" t="s">
        <v>2451</v>
      </c>
      <c r="H73" s="53" t="s">
        <v>2452</v>
      </c>
      <c r="I73" s="53" t="s">
        <v>743</v>
      </c>
    </row>
    <row r="74" customFormat="false" ht="11.25" hidden="false" customHeight="true" outlineLevel="0" collapsed="false">
      <c r="A74" s="53" t="s">
        <v>2190</v>
      </c>
      <c r="B74" s="53" t="s">
        <v>14</v>
      </c>
      <c r="D74" s="53" t="s">
        <v>2453</v>
      </c>
      <c r="E74" s="53" t="s">
        <v>2454</v>
      </c>
      <c r="F74" s="53" t="s">
        <v>2258</v>
      </c>
      <c r="I74" s="53" t="s">
        <v>743</v>
      </c>
    </row>
    <row r="75" customFormat="false" ht="11.25" hidden="false" customHeight="true" outlineLevel="0" collapsed="false">
      <c r="A75" s="53" t="s">
        <v>2190</v>
      </c>
      <c r="B75" s="53" t="s">
        <v>14</v>
      </c>
      <c r="C75" s="53" t="s">
        <v>2455</v>
      </c>
      <c r="D75" s="53" t="s">
        <v>2456</v>
      </c>
      <c r="E75" s="53" t="s">
        <v>2457</v>
      </c>
      <c r="F75" s="53" t="s">
        <v>2218</v>
      </c>
      <c r="I75" s="53" t="s">
        <v>743</v>
      </c>
    </row>
    <row r="76" customFormat="false" ht="11.25" hidden="false" customHeight="true" outlineLevel="0" collapsed="false">
      <c r="A76" s="53" t="s">
        <v>2190</v>
      </c>
      <c r="B76" s="53" t="s">
        <v>14</v>
      </c>
      <c r="C76" s="53" t="s">
        <v>2458</v>
      </c>
      <c r="D76" s="53" t="s">
        <v>2459</v>
      </c>
      <c r="E76" s="53" t="s">
        <v>2460</v>
      </c>
      <c r="F76" s="53" t="s">
        <v>2409</v>
      </c>
      <c r="G76" s="53" t="s">
        <v>2461</v>
      </c>
      <c r="I76" s="53" t="s">
        <v>743</v>
      </c>
    </row>
    <row r="77" customFormat="false" ht="11.25" hidden="false" customHeight="true" outlineLevel="0" collapsed="false">
      <c r="A77" s="53" t="s">
        <v>2190</v>
      </c>
      <c r="B77" s="53" t="s">
        <v>14</v>
      </c>
      <c r="C77" s="53" t="s">
        <v>2462</v>
      </c>
      <c r="D77" s="53" t="s">
        <v>2463</v>
      </c>
      <c r="E77" s="53" t="s">
        <v>2464</v>
      </c>
      <c r="F77" s="53" t="s">
        <v>2254</v>
      </c>
      <c r="H77" s="53" t="s">
        <v>2452</v>
      </c>
      <c r="I77" s="53" t="s">
        <v>743</v>
      </c>
    </row>
    <row r="78" customFormat="false" ht="11.25" hidden="false" customHeight="true" outlineLevel="0" collapsed="false">
      <c r="A78" s="53" t="s">
        <v>2190</v>
      </c>
      <c r="B78" s="53" t="s">
        <v>14</v>
      </c>
      <c r="C78" s="53" t="s">
        <v>2465</v>
      </c>
      <c r="D78" s="53" t="s">
        <v>2466</v>
      </c>
      <c r="E78" s="53" t="s">
        <v>2467</v>
      </c>
      <c r="F78" s="53" t="s">
        <v>2468</v>
      </c>
      <c r="I78" s="53" t="s">
        <v>743</v>
      </c>
    </row>
    <row r="79" customFormat="false" ht="11.25" hidden="false" customHeight="true" outlineLevel="0" collapsed="false">
      <c r="A79" s="53" t="s">
        <v>2190</v>
      </c>
      <c r="B79" s="53" t="s">
        <v>14</v>
      </c>
      <c r="C79" s="53" t="s">
        <v>2469</v>
      </c>
      <c r="D79" s="53" t="s">
        <v>2470</v>
      </c>
      <c r="E79" s="53" t="s">
        <v>2471</v>
      </c>
      <c r="F79" s="53" t="s">
        <v>2472</v>
      </c>
      <c r="I79" s="53" t="s">
        <v>743</v>
      </c>
    </row>
    <row r="80" customFormat="false" ht="11.25" hidden="false" customHeight="true" outlineLevel="0" collapsed="false">
      <c r="A80" s="53" t="s">
        <v>2190</v>
      </c>
      <c r="B80" s="53" t="s">
        <v>14</v>
      </c>
      <c r="C80" s="53" t="s">
        <v>2473</v>
      </c>
      <c r="D80" s="53" t="s">
        <v>2474</v>
      </c>
      <c r="E80" s="53" t="s">
        <v>2475</v>
      </c>
      <c r="F80" s="53" t="s">
        <v>2442</v>
      </c>
      <c r="G80" s="53" t="s">
        <v>2476</v>
      </c>
      <c r="I80" s="53" t="s">
        <v>743</v>
      </c>
    </row>
    <row r="81" customFormat="false" ht="11.25" hidden="false" customHeight="true" outlineLevel="0" collapsed="false">
      <c r="A81" s="53" t="s">
        <v>2190</v>
      </c>
      <c r="B81" s="53" t="s">
        <v>14</v>
      </c>
      <c r="C81" s="53" t="s">
        <v>2477</v>
      </c>
      <c r="D81" s="53" t="s">
        <v>2478</v>
      </c>
      <c r="E81" s="53" t="s">
        <v>2479</v>
      </c>
      <c r="F81" s="53" t="s">
        <v>2480</v>
      </c>
      <c r="I81" s="53" t="s">
        <v>743</v>
      </c>
    </row>
    <row r="82" customFormat="false" ht="11.25" hidden="false" customHeight="true" outlineLevel="0" collapsed="false">
      <c r="A82" s="53" t="s">
        <v>2190</v>
      </c>
      <c r="B82" s="53" t="s">
        <v>14</v>
      </c>
      <c r="C82" s="53" t="s">
        <v>2481</v>
      </c>
      <c r="D82" s="53" t="s">
        <v>2482</v>
      </c>
      <c r="E82" s="53" t="s">
        <v>2483</v>
      </c>
      <c r="F82" s="53" t="s">
        <v>2427</v>
      </c>
      <c r="I82" s="53" t="s">
        <v>743</v>
      </c>
    </row>
    <row r="83" customFormat="false" ht="11.25" hidden="false" customHeight="true" outlineLevel="0" collapsed="false">
      <c r="A83" s="53" t="s">
        <v>2190</v>
      </c>
      <c r="B83" s="53" t="s">
        <v>14</v>
      </c>
      <c r="C83" s="53" t="s">
        <v>2484</v>
      </c>
      <c r="D83" s="53" t="s">
        <v>2485</v>
      </c>
      <c r="E83" s="53" t="s">
        <v>2486</v>
      </c>
      <c r="F83" s="53" t="s">
        <v>2405</v>
      </c>
      <c r="I83" s="53" t="s">
        <v>743</v>
      </c>
    </row>
    <row r="84" customFormat="false" ht="11.25" hidden="false" customHeight="true" outlineLevel="0" collapsed="false">
      <c r="A84" s="53" t="s">
        <v>2190</v>
      </c>
      <c r="B84" s="53" t="s">
        <v>14</v>
      </c>
      <c r="C84" s="53" t="s">
        <v>2487</v>
      </c>
      <c r="D84" s="53" t="s">
        <v>2488</v>
      </c>
      <c r="E84" s="53" t="s">
        <v>2489</v>
      </c>
      <c r="F84" s="53" t="s">
        <v>2222</v>
      </c>
      <c r="G84" s="53" t="s">
        <v>2490</v>
      </c>
      <c r="I84" s="53" t="s">
        <v>743</v>
      </c>
    </row>
    <row r="85" customFormat="false" ht="11.25" hidden="false" customHeight="true" outlineLevel="0" collapsed="false">
      <c r="A85" s="53" t="s">
        <v>2190</v>
      </c>
      <c r="B85" s="53" t="s">
        <v>14</v>
      </c>
      <c r="C85" s="53" t="s">
        <v>2491</v>
      </c>
      <c r="D85" s="53" t="s">
        <v>2492</v>
      </c>
      <c r="E85" s="53" t="s">
        <v>2493</v>
      </c>
      <c r="F85" s="53" t="s">
        <v>48</v>
      </c>
      <c r="H85" s="53" t="s">
        <v>2494</v>
      </c>
      <c r="I85" s="53" t="s">
        <v>743</v>
      </c>
    </row>
    <row r="86" customFormat="false" ht="11.25" hidden="false" customHeight="true" outlineLevel="0" collapsed="false">
      <c r="A86" s="53" t="s">
        <v>2190</v>
      </c>
      <c r="B86" s="53" t="s">
        <v>14</v>
      </c>
      <c r="C86" s="53" t="s">
        <v>2495</v>
      </c>
      <c r="D86" s="53" t="s">
        <v>2496</v>
      </c>
      <c r="E86" s="53" t="s">
        <v>2497</v>
      </c>
      <c r="F86" s="53" t="s">
        <v>2258</v>
      </c>
      <c r="H86" s="53" t="s">
        <v>2498</v>
      </c>
      <c r="I86" s="53" t="s">
        <v>743</v>
      </c>
    </row>
    <row r="87" customFormat="false" ht="11.25" hidden="false" customHeight="true" outlineLevel="0" collapsed="false">
      <c r="A87" s="53" t="s">
        <v>2190</v>
      </c>
      <c r="B87" s="53" t="s">
        <v>14</v>
      </c>
      <c r="C87" s="53" t="s">
        <v>2499</v>
      </c>
      <c r="D87" s="53" t="s">
        <v>2500</v>
      </c>
      <c r="E87" s="53" t="s">
        <v>2501</v>
      </c>
      <c r="F87" s="53" t="s">
        <v>2230</v>
      </c>
      <c r="I87" s="53" t="s">
        <v>743</v>
      </c>
    </row>
    <row r="88" customFormat="false" ht="11.25" hidden="false" customHeight="true" outlineLevel="0" collapsed="false">
      <c r="A88" s="53" t="s">
        <v>2190</v>
      </c>
      <c r="B88" s="53" t="s">
        <v>14</v>
      </c>
      <c r="C88" s="53" t="s">
        <v>2502</v>
      </c>
      <c r="D88" s="53" t="s">
        <v>2503</v>
      </c>
      <c r="E88" s="53" t="s">
        <v>2504</v>
      </c>
      <c r="F88" s="53" t="s">
        <v>2427</v>
      </c>
      <c r="I88" s="53" t="s">
        <v>743</v>
      </c>
    </row>
    <row r="89" customFormat="false" ht="11.25" hidden="false" customHeight="true" outlineLevel="0" collapsed="false">
      <c r="A89" s="53" t="s">
        <v>2190</v>
      </c>
      <c r="B89" s="53" t="s">
        <v>14</v>
      </c>
      <c r="C89" s="53" t="s">
        <v>2505</v>
      </c>
      <c r="D89" s="53" t="s">
        <v>2506</v>
      </c>
      <c r="E89" s="53" t="s">
        <v>2507</v>
      </c>
      <c r="F89" s="53" t="s">
        <v>2230</v>
      </c>
      <c r="G89" s="53" t="s">
        <v>2508</v>
      </c>
      <c r="I89" s="53" t="s">
        <v>743</v>
      </c>
    </row>
    <row r="90" customFormat="false" ht="11.25" hidden="false" customHeight="true" outlineLevel="0" collapsed="false">
      <c r="A90" s="53" t="s">
        <v>2190</v>
      </c>
      <c r="B90" s="53" t="s">
        <v>14</v>
      </c>
      <c r="C90" s="53" t="s">
        <v>2509</v>
      </c>
      <c r="D90" s="53" t="s">
        <v>2510</v>
      </c>
      <c r="E90" s="53" t="s">
        <v>2511</v>
      </c>
      <c r="F90" s="53" t="s">
        <v>2262</v>
      </c>
      <c r="H90" s="53" t="s">
        <v>2298</v>
      </c>
      <c r="I90" s="53" t="s">
        <v>743</v>
      </c>
    </row>
    <row r="91" customFormat="false" ht="11.25" hidden="false" customHeight="true" outlineLevel="0" collapsed="false">
      <c r="A91" s="53" t="s">
        <v>2190</v>
      </c>
      <c r="B91" s="53" t="s">
        <v>14</v>
      </c>
      <c r="C91" s="53" t="s">
        <v>2512</v>
      </c>
      <c r="D91" s="53" t="s">
        <v>2513</v>
      </c>
      <c r="E91" s="53" t="s">
        <v>2514</v>
      </c>
      <c r="F91" s="53" t="s">
        <v>2427</v>
      </c>
      <c r="H91" s="53" t="s">
        <v>2398</v>
      </c>
      <c r="I91" s="53" t="s">
        <v>743</v>
      </c>
    </row>
    <row r="92" customFormat="false" ht="11.25" hidden="false" customHeight="true" outlineLevel="0" collapsed="false">
      <c r="A92" s="53" t="s">
        <v>2190</v>
      </c>
      <c r="B92" s="53" t="s">
        <v>14</v>
      </c>
      <c r="C92" s="53" t="s">
        <v>2515</v>
      </c>
      <c r="D92" s="53" t="s">
        <v>2513</v>
      </c>
      <c r="E92" s="53" t="s">
        <v>2516</v>
      </c>
      <c r="F92" s="53" t="s">
        <v>2517</v>
      </c>
      <c r="H92" s="53" t="s">
        <v>2518</v>
      </c>
      <c r="I92" s="53" t="s">
        <v>743</v>
      </c>
    </row>
    <row r="93" customFormat="false" ht="11.25" hidden="false" customHeight="true" outlineLevel="0" collapsed="false">
      <c r="A93" s="53" t="s">
        <v>2190</v>
      </c>
      <c r="B93" s="53" t="s">
        <v>14</v>
      </c>
      <c r="C93" s="53" t="s">
        <v>2519</v>
      </c>
      <c r="D93" s="53" t="s">
        <v>2513</v>
      </c>
      <c r="E93" s="53" t="s">
        <v>2520</v>
      </c>
      <c r="F93" s="53" t="s">
        <v>2521</v>
      </c>
      <c r="H93" s="53" t="s">
        <v>2522</v>
      </c>
      <c r="I93" s="53" t="s">
        <v>743</v>
      </c>
    </row>
    <row r="94" customFormat="false" ht="11.25" hidden="false" customHeight="true" outlineLevel="0" collapsed="false">
      <c r="A94" s="53" t="s">
        <v>2190</v>
      </c>
      <c r="B94" s="53" t="s">
        <v>14</v>
      </c>
      <c r="C94" s="53" t="s">
        <v>2523</v>
      </c>
      <c r="D94" s="53" t="s">
        <v>2524</v>
      </c>
      <c r="E94" s="53" t="s">
        <v>2520</v>
      </c>
      <c r="F94" s="53" t="s">
        <v>2230</v>
      </c>
      <c r="H94" s="53" t="s">
        <v>2525</v>
      </c>
      <c r="I94" s="53" t="s">
        <v>743</v>
      </c>
    </row>
    <row r="95" customFormat="false" ht="11.25" hidden="false" customHeight="true" outlineLevel="0" collapsed="false">
      <c r="A95" s="53" t="s">
        <v>2190</v>
      </c>
      <c r="B95" s="53" t="s">
        <v>14</v>
      </c>
      <c r="C95" s="53" t="s">
        <v>2526</v>
      </c>
      <c r="D95" s="53" t="s">
        <v>2527</v>
      </c>
      <c r="E95" s="53" t="s">
        <v>2520</v>
      </c>
      <c r="F95" s="53" t="s">
        <v>2528</v>
      </c>
      <c r="H95" s="53" t="s">
        <v>2525</v>
      </c>
      <c r="I95" s="53" t="s">
        <v>743</v>
      </c>
    </row>
    <row r="96" customFormat="false" ht="11.25" hidden="false" customHeight="true" outlineLevel="0" collapsed="false">
      <c r="A96" s="53" t="s">
        <v>2190</v>
      </c>
      <c r="B96" s="53" t="s">
        <v>14</v>
      </c>
      <c r="C96" s="53" t="s">
        <v>2529</v>
      </c>
      <c r="D96" s="53" t="s">
        <v>2530</v>
      </c>
      <c r="E96" s="53" t="s">
        <v>2531</v>
      </c>
      <c r="F96" s="53" t="s">
        <v>2405</v>
      </c>
      <c r="I96" s="53" t="s">
        <v>743</v>
      </c>
    </row>
    <row r="97" customFormat="false" ht="11.25" hidden="false" customHeight="true" outlineLevel="0" collapsed="false">
      <c r="A97" s="53" t="s">
        <v>2190</v>
      </c>
      <c r="B97" s="53" t="s">
        <v>14</v>
      </c>
      <c r="C97" s="53" t="s">
        <v>2532</v>
      </c>
      <c r="D97" s="53" t="s">
        <v>2533</v>
      </c>
      <c r="E97" s="53" t="s">
        <v>2534</v>
      </c>
      <c r="F97" s="53" t="s">
        <v>48</v>
      </c>
      <c r="H97" s="53" t="s">
        <v>2535</v>
      </c>
      <c r="I97" s="53" t="s">
        <v>743</v>
      </c>
    </row>
    <row r="98" customFormat="false" ht="11.25" hidden="false" customHeight="true" outlineLevel="0" collapsed="false">
      <c r="A98" s="53" t="s">
        <v>2190</v>
      </c>
      <c r="B98" s="53" t="s">
        <v>14</v>
      </c>
      <c r="C98" s="53" t="s">
        <v>2536</v>
      </c>
      <c r="D98" s="53" t="s">
        <v>2537</v>
      </c>
      <c r="E98" s="53" t="s">
        <v>2538</v>
      </c>
      <c r="F98" s="53" t="s">
        <v>2427</v>
      </c>
      <c r="I98" s="53" t="s">
        <v>743</v>
      </c>
    </row>
    <row r="99" customFormat="false" ht="11.25" hidden="false" customHeight="true" outlineLevel="0" collapsed="false">
      <c r="A99" s="53" t="s">
        <v>2190</v>
      </c>
      <c r="B99" s="53" t="s">
        <v>14</v>
      </c>
      <c r="C99" s="53" t="s">
        <v>2539</v>
      </c>
      <c r="D99" s="53" t="s">
        <v>2540</v>
      </c>
      <c r="E99" s="53" t="s">
        <v>2541</v>
      </c>
      <c r="F99" s="53" t="s">
        <v>2254</v>
      </c>
      <c r="G99" s="53" t="s">
        <v>2542</v>
      </c>
      <c r="I99" s="53" t="s">
        <v>743</v>
      </c>
    </row>
    <row r="100" customFormat="false" ht="11.25" hidden="false" customHeight="true" outlineLevel="0" collapsed="false">
      <c r="A100" s="53" t="s">
        <v>2190</v>
      </c>
      <c r="B100" s="53" t="s">
        <v>14</v>
      </c>
      <c r="C100" s="53" t="s">
        <v>2543</v>
      </c>
      <c r="D100" s="53" t="s">
        <v>2544</v>
      </c>
      <c r="E100" s="53" t="s">
        <v>2545</v>
      </c>
      <c r="F100" s="53" t="s">
        <v>2546</v>
      </c>
      <c r="H100" s="53" t="s">
        <v>2547</v>
      </c>
      <c r="I100" s="53" t="s">
        <v>743</v>
      </c>
    </row>
    <row r="101" customFormat="false" ht="11.25" hidden="false" customHeight="true" outlineLevel="0" collapsed="false">
      <c r="A101" s="53" t="s">
        <v>2190</v>
      </c>
      <c r="B101" s="53" t="s">
        <v>14</v>
      </c>
      <c r="C101" s="53" t="s">
        <v>2548</v>
      </c>
      <c r="D101" s="53" t="s">
        <v>2544</v>
      </c>
      <c r="E101" s="53" t="s">
        <v>2545</v>
      </c>
      <c r="F101" s="53" t="s">
        <v>2546</v>
      </c>
      <c r="I101" s="53" t="s">
        <v>743</v>
      </c>
    </row>
    <row r="102" customFormat="false" ht="11.25" hidden="false" customHeight="true" outlineLevel="0" collapsed="false">
      <c r="A102" s="53" t="s">
        <v>2190</v>
      </c>
      <c r="B102" s="53" t="s">
        <v>14</v>
      </c>
      <c r="C102" s="53" t="s">
        <v>2549</v>
      </c>
      <c r="D102" s="53" t="s">
        <v>2550</v>
      </c>
      <c r="E102" s="53" t="s">
        <v>2545</v>
      </c>
      <c r="F102" s="53" t="s">
        <v>2551</v>
      </c>
      <c r="H102" s="53" t="s">
        <v>2552</v>
      </c>
      <c r="I102" s="53" t="s">
        <v>743</v>
      </c>
    </row>
    <row r="103" customFormat="false" ht="11.25" hidden="false" customHeight="true" outlineLevel="0" collapsed="false">
      <c r="A103" s="53" t="s">
        <v>2190</v>
      </c>
      <c r="B103" s="53" t="s">
        <v>14</v>
      </c>
      <c r="C103" s="53" t="s">
        <v>2553</v>
      </c>
      <c r="D103" s="53" t="s">
        <v>2554</v>
      </c>
      <c r="E103" s="53" t="s">
        <v>2555</v>
      </c>
      <c r="F103" s="53" t="s">
        <v>2551</v>
      </c>
      <c r="H103" s="53" t="s">
        <v>2552</v>
      </c>
      <c r="I103" s="53" t="s">
        <v>743</v>
      </c>
    </row>
    <row r="104" customFormat="false" ht="11.25" hidden="false" customHeight="true" outlineLevel="0" collapsed="false">
      <c r="A104" s="53" t="s">
        <v>2190</v>
      </c>
      <c r="B104" s="53" t="s">
        <v>14</v>
      </c>
      <c r="C104" s="53" t="s">
        <v>2556</v>
      </c>
      <c r="D104" s="53" t="s">
        <v>2557</v>
      </c>
      <c r="E104" s="53" t="s">
        <v>2558</v>
      </c>
      <c r="F104" s="53" t="s">
        <v>2472</v>
      </c>
      <c r="H104" s="53" t="s">
        <v>2559</v>
      </c>
      <c r="I104" s="53" t="s">
        <v>743</v>
      </c>
    </row>
    <row r="105" customFormat="false" ht="11.25" hidden="false" customHeight="true" outlineLevel="0" collapsed="false">
      <c r="A105" s="53" t="s">
        <v>2190</v>
      </c>
      <c r="B105" s="53" t="s">
        <v>14</v>
      </c>
      <c r="C105" s="53" t="s">
        <v>2560</v>
      </c>
      <c r="D105" s="53" t="s">
        <v>2561</v>
      </c>
      <c r="E105" s="53" t="s">
        <v>2562</v>
      </c>
      <c r="F105" s="53" t="s">
        <v>2405</v>
      </c>
      <c r="I105" s="53" t="s">
        <v>743</v>
      </c>
    </row>
    <row r="106" customFormat="false" ht="11.25" hidden="false" customHeight="true" outlineLevel="0" collapsed="false">
      <c r="A106" s="53" t="s">
        <v>2190</v>
      </c>
      <c r="B106" s="53" t="s">
        <v>14</v>
      </c>
      <c r="C106" s="53" t="s">
        <v>2563</v>
      </c>
      <c r="D106" s="53" t="s">
        <v>2564</v>
      </c>
      <c r="E106" s="53" t="s">
        <v>2565</v>
      </c>
      <c r="F106" s="53" t="s">
        <v>2405</v>
      </c>
      <c r="H106" s="53" t="s">
        <v>2566</v>
      </c>
      <c r="I106" s="53" t="s">
        <v>743</v>
      </c>
    </row>
    <row r="107" customFormat="false" ht="11.25" hidden="false" customHeight="true" outlineLevel="0" collapsed="false">
      <c r="A107" s="53" t="s">
        <v>2190</v>
      </c>
      <c r="B107" s="53" t="s">
        <v>14</v>
      </c>
      <c r="C107" s="53" t="s">
        <v>2567</v>
      </c>
      <c r="D107" s="53" t="s">
        <v>2568</v>
      </c>
      <c r="E107" s="53" t="s">
        <v>2569</v>
      </c>
      <c r="F107" s="53" t="s">
        <v>2405</v>
      </c>
      <c r="H107" s="53" t="s">
        <v>2570</v>
      </c>
      <c r="I107" s="53" t="s">
        <v>743</v>
      </c>
    </row>
    <row r="108" customFormat="false" ht="11.25" hidden="false" customHeight="true" outlineLevel="0" collapsed="false">
      <c r="A108" s="53" t="s">
        <v>2190</v>
      </c>
      <c r="B108" s="53" t="s">
        <v>14</v>
      </c>
      <c r="C108" s="53" t="s">
        <v>2571</v>
      </c>
      <c r="D108" s="53" t="s">
        <v>2572</v>
      </c>
      <c r="E108" s="53" t="s">
        <v>2573</v>
      </c>
      <c r="F108" s="53" t="s">
        <v>2238</v>
      </c>
      <c r="I108" s="53" t="s">
        <v>743</v>
      </c>
    </row>
    <row r="109" customFormat="false" ht="11.25" hidden="false" customHeight="true" outlineLevel="0" collapsed="false">
      <c r="A109" s="53" t="s">
        <v>2190</v>
      </c>
      <c r="B109" s="53" t="s">
        <v>14</v>
      </c>
      <c r="C109" s="53" t="s">
        <v>2574</v>
      </c>
      <c r="D109" s="53" t="s">
        <v>2575</v>
      </c>
      <c r="E109" s="53" t="s">
        <v>2576</v>
      </c>
      <c r="F109" s="53" t="s">
        <v>2262</v>
      </c>
      <c r="H109" s="53" t="s">
        <v>2398</v>
      </c>
      <c r="I109" s="53" t="s">
        <v>743</v>
      </c>
    </row>
    <row r="110" customFormat="false" ht="11.25" hidden="false" customHeight="true" outlineLevel="0" collapsed="false">
      <c r="A110" s="53" t="s">
        <v>2190</v>
      </c>
      <c r="B110" s="53" t="s">
        <v>14</v>
      </c>
      <c r="C110" s="53" t="s">
        <v>2577</v>
      </c>
      <c r="D110" s="53" t="s">
        <v>2578</v>
      </c>
      <c r="E110" s="53" t="s">
        <v>2579</v>
      </c>
      <c r="F110" s="53" t="s">
        <v>2254</v>
      </c>
      <c r="H110" s="53" t="s">
        <v>2381</v>
      </c>
      <c r="I110" s="53" t="s">
        <v>743</v>
      </c>
    </row>
    <row r="111" customFormat="false" ht="11.25" hidden="false" customHeight="true" outlineLevel="0" collapsed="false">
      <c r="A111" s="53" t="s">
        <v>2190</v>
      </c>
      <c r="B111" s="53" t="s">
        <v>14</v>
      </c>
      <c r="C111" s="53" t="s">
        <v>2580</v>
      </c>
      <c r="D111" s="53" t="s">
        <v>2581</v>
      </c>
      <c r="E111" s="53" t="s">
        <v>2579</v>
      </c>
      <c r="F111" s="53" t="s">
        <v>2582</v>
      </c>
      <c r="H111" s="53" t="s">
        <v>2398</v>
      </c>
      <c r="I111" s="53" t="s">
        <v>743</v>
      </c>
    </row>
    <row r="112" customFormat="false" ht="11.25" hidden="false" customHeight="true" outlineLevel="0" collapsed="false">
      <c r="A112" s="53" t="s">
        <v>2190</v>
      </c>
      <c r="B112" s="53" t="s">
        <v>14</v>
      </c>
      <c r="C112" s="53" t="s">
        <v>2583</v>
      </c>
      <c r="D112" s="53" t="s">
        <v>2584</v>
      </c>
      <c r="E112" s="53" t="s">
        <v>2579</v>
      </c>
      <c r="F112" s="53" t="s">
        <v>2585</v>
      </c>
      <c r="H112" s="53" t="s">
        <v>2398</v>
      </c>
      <c r="I112" s="53" t="s">
        <v>743</v>
      </c>
    </row>
    <row r="113" customFormat="false" ht="11.25" hidden="false" customHeight="true" outlineLevel="0" collapsed="false">
      <c r="A113" s="53" t="s">
        <v>2190</v>
      </c>
      <c r="B113" s="53" t="s">
        <v>14</v>
      </c>
      <c r="C113" s="53" t="s">
        <v>2586</v>
      </c>
      <c r="D113" s="53" t="s">
        <v>2587</v>
      </c>
      <c r="E113" s="53" t="s">
        <v>2588</v>
      </c>
      <c r="F113" s="53" t="s">
        <v>2254</v>
      </c>
      <c r="I113" s="53" t="s">
        <v>743</v>
      </c>
    </row>
    <row r="114" customFormat="false" ht="11.25" hidden="false" customHeight="true" outlineLevel="0" collapsed="false">
      <c r="A114" s="53" t="s">
        <v>2190</v>
      </c>
      <c r="B114" s="53" t="s">
        <v>14</v>
      </c>
      <c r="C114" s="53" t="s">
        <v>2589</v>
      </c>
      <c r="D114" s="53" t="s">
        <v>2590</v>
      </c>
      <c r="E114" s="53" t="s">
        <v>2591</v>
      </c>
      <c r="F114" s="53" t="s">
        <v>2254</v>
      </c>
      <c r="I114" s="53" t="s">
        <v>743</v>
      </c>
    </row>
    <row r="115" customFormat="false" ht="11.25" hidden="false" customHeight="true" outlineLevel="0" collapsed="false">
      <c r="A115" s="53" t="s">
        <v>2190</v>
      </c>
      <c r="B115" s="53" t="s">
        <v>14</v>
      </c>
      <c r="C115" s="53" t="s">
        <v>2592</v>
      </c>
      <c r="D115" s="53" t="s">
        <v>2593</v>
      </c>
      <c r="E115" s="53" t="s">
        <v>2594</v>
      </c>
      <c r="F115" s="53" t="s">
        <v>2262</v>
      </c>
      <c r="H115" s="53" t="s">
        <v>2498</v>
      </c>
      <c r="I115" s="53" t="s">
        <v>743</v>
      </c>
    </row>
    <row r="116" customFormat="false" ht="11.25" hidden="false" customHeight="true" outlineLevel="0" collapsed="false">
      <c r="A116" s="53" t="s">
        <v>2190</v>
      </c>
      <c r="B116" s="53" t="s">
        <v>14</v>
      </c>
      <c r="C116" s="53" t="s">
        <v>2595</v>
      </c>
      <c r="D116" s="53" t="s">
        <v>2596</v>
      </c>
      <c r="E116" s="53" t="s">
        <v>2597</v>
      </c>
      <c r="F116" s="53" t="s">
        <v>2262</v>
      </c>
      <c r="G116" s="53" t="s">
        <v>2598</v>
      </c>
      <c r="I116" s="53" t="s">
        <v>743</v>
      </c>
    </row>
    <row r="117" customFormat="false" ht="11.25" hidden="false" customHeight="true" outlineLevel="0" collapsed="false">
      <c r="A117" s="53" t="s">
        <v>2190</v>
      </c>
      <c r="B117" s="53" t="s">
        <v>14</v>
      </c>
      <c r="C117" s="53" t="s">
        <v>2599</v>
      </c>
      <c r="D117" s="53" t="s">
        <v>2600</v>
      </c>
      <c r="E117" s="53" t="s">
        <v>2601</v>
      </c>
      <c r="F117" s="53" t="s">
        <v>2262</v>
      </c>
      <c r="I117" s="53" t="s">
        <v>743</v>
      </c>
    </row>
    <row r="118" customFormat="false" ht="11.25" hidden="false" customHeight="true" outlineLevel="0" collapsed="false">
      <c r="A118" s="53" t="s">
        <v>2190</v>
      </c>
      <c r="B118" s="53" t="s">
        <v>14</v>
      </c>
      <c r="C118" s="53" t="s">
        <v>2602</v>
      </c>
      <c r="D118" s="53" t="s">
        <v>2603</v>
      </c>
      <c r="E118" s="53" t="s">
        <v>2604</v>
      </c>
      <c r="F118" s="53" t="s">
        <v>2262</v>
      </c>
      <c r="H118" s="53" t="s">
        <v>2498</v>
      </c>
      <c r="I118" s="53" t="s">
        <v>743</v>
      </c>
    </row>
    <row r="119" customFormat="false" ht="11.25" hidden="false" customHeight="true" outlineLevel="0" collapsed="false">
      <c r="A119" s="53" t="s">
        <v>2190</v>
      </c>
      <c r="B119" s="53" t="s">
        <v>14</v>
      </c>
      <c r="C119" s="53" t="s">
        <v>2605</v>
      </c>
      <c r="D119" s="53" t="s">
        <v>2606</v>
      </c>
      <c r="E119" s="53" t="s">
        <v>2607</v>
      </c>
      <c r="F119" s="53" t="s">
        <v>2405</v>
      </c>
      <c r="H119" s="53" t="s">
        <v>2608</v>
      </c>
      <c r="I119" s="53" t="s">
        <v>743</v>
      </c>
    </row>
    <row r="120" customFormat="false" ht="11.25" hidden="false" customHeight="true" outlineLevel="0" collapsed="false">
      <c r="A120" s="53" t="s">
        <v>2190</v>
      </c>
      <c r="B120" s="53" t="s">
        <v>14</v>
      </c>
      <c r="C120" s="53" t="s">
        <v>2609</v>
      </c>
      <c r="D120" s="53" t="s">
        <v>2610</v>
      </c>
      <c r="E120" s="53" t="s">
        <v>2611</v>
      </c>
      <c r="F120" s="53" t="s">
        <v>2612</v>
      </c>
      <c r="H120" s="53" t="s">
        <v>2525</v>
      </c>
      <c r="I120" s="53" t="s">
        <v>743</v>
      </c>
    </row>
    <row r="121" customFormat="false" ht="11.25" hidden="false" customHeight="true" outlineLevel="0" collapsed="false">
      <c r="A121" s="53" t="s">
        <v>2190</v>
      </c>
      <c r="B121" s="53" t="s">
        <v>14</v>
      </c>
      <c r="C121" s="53" t="s">
        <v>2613</v>
      </c>
      <c r="D121" s="53" t="s">
        <v>2614</v>
      </c>
      <c r="E121" s="53" t="s">
        <v>2611</v>
      </c>
      <c r="F121" s="53" t="s">
        <v>2615</v>
      </c>
      <c r="H121" s="53" t="s">
        <v>2616</v>
      </c>
      <c r="I121" s="53" t="s">
        <v>743</v>
      </c>
    </row>
    <row r="122" customFormat="false" ht="11.25" hidden="false" customHeight="true" outlineLevel="0" collapsed="false">
      <c r="A122" s="53" t="s">
        <v>2190</v>
      </c>
      <c r="B122" s="53" t="s">
        <v>14</v>
      </c>
      <c r="C122" s="53" t="s">
        <v>2617</v>
      </c>
      <c r="D122" s="53" t="s">
        <v>2618</v>
      </c>
      <c r="E122" s="53" t="s">
        <v>2619</v>
      </c>
      <c r="F122" s="53" t="s">
        <v>2222</v>
      </c>
      <c r="H122" s="53" t="s">
        <v>2620</v>
      </c>
      <c r="I122" s="53" t="s">
        <v>743</v>
      </c>
    </row>
    <row r="123" customFormat="false" ht="11.25" hidden="false" customHeight="true" outlineLevel="0" collapsed="false">
      <c r="A123" s="53" t="s">
        <v>2190</v>
      </c>
      <c r="B123" s="53" t="s">
        <v>14</v>
      </c>
      <c r="C123" s="53" t="s">
        <v>2621</v>
      </c>
      <c r="D123" s="53" t="s">
        <v>2622</v>
      </c>
      <c r="E123" s="53" t="s">
        <v>2623</v>
      </c>
      <c r="F123" s="53" t="s">
        <v>2218</v>
      </c>
      <c r="I123" s="53" t="s">
        <v>743</v>
      </c>
    </row>
    <row r="124" customFormat="false" ht="11.25" hidden="false" customHeight="true" outlineLevel="0" collapsed="false">
      <c r="A124" s="53" t="s">
        <v>2190</v>
      </c>
      <c r="B124" s="53" t="s">
        <v>14</v>
      </c>
      <c r="C124" s="53" t="s">
        <v>2624</v>
      </c>
      <c r="D124" s="53" t="s">
        <v>2625</v>
      </c>
      <c r="E124" s="53" t="s">
        <v>2626</v>
      </c>
      <c r="F124" s="53" t="s">
        <v>2234</v>
      </c>
      <c r="G124" s="53" t="s">
        <v>2627</v>
      </c>
      <c r="H124" s="53" t="s">
        <v>2628</v>
      </c>
      <c r="I124" s="53" t="s">
        <v>743</v>
      </c>
    </row>
    <row r="125" customFormat="false" ht="11.25" hidden="false" customHeight="true" outlineLevel="0" collapsed="false">
      <c r="A125" s="53" t="s">
        <v>2190</v>
      </c>
      <c r="B125" s="53" t="s">
        <v>14</v>
      </c>
      <c r="C125" s="53" t="s">
        <v>2629</v>
      </c>
      <c r="D125" s="53" t="s">
        <v>2630</v>
      </c>
      <c r="E125" s="53" t="s">
        <v>2631</v>
      </c>
      <c r="F125" s="53" t="s">
        <v>2409</v>
      </c>
      <c r="I125" s="53" t="s">
        <v>743</v>
      </c>
    </row>
    <row r="126" customFormat="false" ht="11.25" hidden="false" customHeight="true" outlineLevel="0" collapsed="false">
      <c r="A126" s="53" t="s">
        <v>2190</v>
      </c>
      <c r="B126" s="53" t="s">
        <v>14</v>
      </c>
      <c r="C126" s="53" t="s">
        <v>2632</v>
      </c>
      <c r="D126" s="53" t="s">
        <v>2633</v>
      </c>
      <c r="E126" s="53" t="s">
        <v>2634</v>
      </c>
      <c r="F126" s="53" t="s">
        <v>2258</v>
      </c>
      <c r="I126" s="53" t="s">
        <v>743</v>
      </c>
    </row>
    <row r="127" customFormat="false" ht="11.25" hidden="false" customHeight="true" outlineLevel="0" collapsed="false">
      <c r="A127" s="53" t="s">
        <v>2190</v>
      </c>
      <c r="B127" s="53" t="s">
        <v>14</v>
      </c>
      <c r="C127" s="53" t="s">
        <v>2635</v>
      </c>
      <c r="D127" s="53" t="s">
        <v>2636</v>
      </c>
      <c r="E127" s="53" t="s">
        <v>2637</v>
      </c>
      <c r="F127" s="53" t="s">
        <v>2226</v>
      </c>
      <c r="I127" s="53" t="s">
        <v>743</v>
      </c>
    </row>
    <row r="128" customFormat="false" ht="11.25" hidden="false" customHeight="true" outlineLevel="0" collapsed="false">
      <c r="A128" s="53" t="s">
        <v>2190</v>
      </c>
      <c r="B128" s="53" t="s">
        <v>14</v>
      </c>
      <c r="C128" s="53" t="s">
        <v>2638</v>
      </c>
      <c r="D128" s="53" t="s">
        <v>2639</v>
      </c>
      <c r="E128" s="53" t="s">
        <v>2640</v>
      </c>
      <c r="F128" s="53" t="s">
        <v>2409</v>
      </c>
      <c r="H128" s="53" t="s">
        <v>2298</v>
      </c>
      <c r="I128" s="53" t="s">
        <v>743</v>
      </c>
    </row>
    <row r="129" customFormat="false" ht="11.25" hidden="false" customHeight="true" outlineLevel="0" collapsed="false">
      <c r="A129" s="53" t="s">
        <v>2190</v>
      </c>
      <c r="B129" s="53" t="s">
        <v>14</v>
      </c>
      <c r="C129" s="53" t="s">
        <v>2641</v>
      </c>
      <c r="D129" s="53" t="s">
        <v>2642</v>
      </c>
      <c r="E129" s="53" t="s">
        <v>2643</v>
      </c>
      <c r="F129" s="53" t="s">
        <v>2234</v>
      </c>
      <c r="H129" s="53" t="s">
        <v>2213</v>
      </c>
      <c r="I129" s="53" t="s">
        <v>743</v>
      </c>
    </row>
    <row r="130" customFormat="false" ht="11.25" hidden="false" customHeight="true" outlineLevel="0" collapsed="false">
      <c r="A130" s="53" t="s">
        <v>2190</v>
      </c>
      <c r="B130" s="53" t="s">
        <v>14</v>
      </c>
      <c r="C130" s="53" t="s">
        <v>2644</v>
      </c>
      <c r="D130" s="53" t="s">
        <v>2645</v>
      </c>
      <c r="E130" s="53" t="s">
        <v>2237</v>
      </c>
      <c r="F130" s="53" t="s">
        <v>2646</v>
      </c>
      <c r="H130" s="53" t="s">
        <v>2552</v>
      </c>
      <c r="I130" s="53" t="s">
        <v>743</v>
      </c>
    </row>
    <row r="131" customFormat="false" ht="11.25" hidden="false" customHeight="true" outlineLevel="0" collapsed="false">
      <c r="A131" s="53" t="s">
        <v>2190</v>
      </c>
      <c r="B131" s="53" t="s">
        <v>14</v>
      </c>
      <c r="C131" s="53" t="s">
        <v>2647</v>
      </c>
      <c r="D131" s="53" t="s">
        <v>2648</v>
      </c>
      <c r="E131" s="53" t="s">
        <v>2237</v>
      </c>
      <c r="F131" s="53" t="s">
        <v>2612</v>
      </c>
      <c r="H131" s="53" t="s">
        <v>2552</v>
      </c>
      <c r="I131" s="53" t="s">
        <v>743</v>
      </c>
    </row>
    <row r="132" customFormat="false" ht="11.25" hidden="false" customHeight="true" outlineLevel="0" collapsed="false">
      <c r="A132" s="53" t="s">
        <v>2190</v>
      </c>
      <c r="B132" s="53" t="s">
        <v>14</v>
      </c>
      <c r="C132" s="53" t="s">
        <v>2649</v>
      </c>
      <c r="D132" s="53" t="s">
        <v>2650</v>
      </c>
      <c r="E132" s="53" t="s">
        <v>2651</v>
      </c>
      <c r="F132" s="53" t="s">
        <v>2222</v>
      </c>
      <c r="I132" s="53" t="s">
        <v>743</v>
      </c>
    </row>
    <row r="133" customFormat="false" ht="11.25" hidden="false" customHeight="true" outlineLevel="0" collapsed="false">
      <c r="A133" s="53" t="s">
        <v>2190</v>
      </c>
      <c r="B133" s="53" t="s">
        <v>14</v>
      </c>
      <c r="C133" s="53" t="s">
        <v>2652</v>
      </c>
      <c r="D133" s="53" t="s">
        <v>2653</v>
      </c>
      <c r="E133" s="53" t="s">
        <v>2654</v>
      </c>
      <c r="F133" s="53" t="s">
        <v>2655</v>
      </c>
      <c r="H133" s="53" t="s">
        <v>2298</v>
      </c>
      <c r="I133" s="53" t="s">
        <v>743</v>
      </c>
    </row>
    <row r="134" customFormat="false" ht="11.25" hidden="false" customHeight="true" outlineLevel="0" collapsed="false">
      <c r="A134" s="53" t="s">
        <v>2190</v>
      </c>
      <c r="B134" s="53" t="s">
        <v>14</v>
      </c>
      <c r="C134" s="53" t="s">
        <v>2656</v>
      </c>
      <c r="D134" s="53" t="s">
        <v>2657</v>
      </c>
      <c r="E134" s="53" t="s">
        <v>2658</v>
      </c>
      <c r="F134" s="53" t="s">
        <v>2254</v>
      </c>
      <c r="H134" s="53" t="s">
        <v>2659</v>
      </c>
      <c r="I134" s="53" t="s">
        <v>743</v>
      </c>
    </row>
    <row r="135" customFormat="false" ht="11.25" hidden="false" customHeight="true" outlineLevel="0" collapsed="false">
      <c r="A135" s="53" t="s">
        <v>2190</v>
      </c>
      <c r="B135" s="53" t="s">
        <v>14</v>
      </c>
      <c r="C135" s="53" t="s">
        <v>2660</v>
      </c>
      <c r="D135" s="53" t="s">
        <v>2661</v>
      </c>
      <c r="E135" s="53" t="s">
        <v>2662</v>
      </c>
      <c r="F135" s="53" t="s">
        <v>2663</v>
      </c>
      <c r="H135" s="53" t="s">
        <v>2664</v>
      </c>
      <c r="I135" s="53" t="s">
        <v>743</v>
      </c>
    </row>
    <row r="136" customFormat="false" ht="11.25" hidden="false" customHeight="true" outlineLevel="0" collapsed="false">
      <c r="A136" s="53" t="s">
        <v>2190</v>
      </c>
      <c r="B136" s="53" t="s">
        <v>14</v>
      </c>
      <c r="C136" s="53" t="s">
        <v>2665</v>
      </c>
      <c r="D136" s="53" t="s">
        <v>2666</v>
      </c>
      <c r="E136" s="53" t="s">
        <v>2662</v>
      </c>
      <c r="F136" s="53" t="s">
        <v>2667</v>
      </c>
      <c r="H136" s="53" t="s">
        <v>2398</v>
      </c>
      <c r="I136" s="53" t="s">
        <v>743</v>
      </c>
    </row>
    <row r="137" customFormat="false" ht="11.25" hidden="false" customHeight="true" outlineLevel="0" collapsed="false">
      <c r="A137" s="53" t="s">
        <v>2190</v>
      </c>
      <c r="B137" s="53" t="s">
        <v>14</v>
      </c>
      <c r="C137" s="53" t="s">
        <v>2668</v>
      </c>
      <c r="D137" s="53" t="s">
        <v>2669</v>
      </c>
      <c r="E137" s="53" t="s">
        <v>2670</v>
      </c>
      <c r="F137" s="53" t="s">
        <v>2254</v>
      </c>
      <c r="I137" s="53" t="s">
        <v>743</v>
      </c>
    </row>
    <row r="138" customFormat="false" ht="11.25" hidden="false" customHeight="true" outlineLevel="0" collapsed="false">
      <c r="A138" s="53" t="s">
        <v>2190</v>
      </c>
      <c r="B138" s="53" t="s">
        <v>14</v>
      </c>
      <c r="C138" s="53" t="s">
        <v>2671</v>
      </c>
      <c r="D138" s="53" t="s">
        <v>2672</v>
      </c>
      <c r="E138" s="53" t="s">
        <v>2673</v>
      </c>
      <c r="F138" s="53" t="s">
        <v>2409</v>
      </c>
      <c r="I138" s="53" t="s">
        <v>743</v>
      </c>
    </row>
    <row r="139" customFormat="false" ht="11.25" hidden="false" customHeight="true" outlineLevel="0" collapsed="false">
      <c r="A139" s="53" t="s">
        <v>2190</v>
      </c>
      <c r="B139" s="53" t="s">
        <v>14</v>
      </c>
      <c r="C139" s="53" t="s">
        <v>2674</v>
      </c>
      <c r="D139" s="53" t="s">
        <v>2675</v>
      </c>
      <c r="E139" s="53" t="s">
        <v>2676</v>
      </c>
      <c r="F139" s="53" t="s">
        <v>48</v>
      </c>
      <c r="H139" s="53" t="s">
        <v>2432</v>
      </c>
      <c r="I139" s="53" t="s">
        <v>743</v>
      </c>
    </row>
    <row r="140" customFormat="false" ht="11.25" hidden="false" customHeight="true" outlineLevel="0" collapsed="false">
      <c r="A140" s="53" t="s">
        <v>2190</v>
      </c>
      <c r="B140" s="53" t="s">
        <v>14</v>
      </c>
      <c r="C140" s="53" t="s">
        <v>2677</v>
      </c>
      <c r="D140" s="53" t="s">
        <v>2678</v>
      </c>
      <c r="E140" s="53" t="s">
        <v>2676</v>
      </c>
      <c r="F140" s="53" t="s">
        <v>2679</v>
      </c>
      <c r="H140" s="53" t="s">
        <v>2518</v>
      </c>
      <c r="I140" s="53" t="s">
        <v>743</v>
      </c>
    </row>
    <row r="141" customFormat="false" ht="11.25" hidden="false" customHeight="true" outlineLevel="0" collapsed="false">
      <c r="A141" s="53" t="s">
        <v>2190</v>
      </c>
      <c r="B141" s="53" t="s">
        <v>14</v>
      </c>
      <c r="C141" s="53" t="s">
        <v>2680</v>
      </c>
      <c r="D141" s="53" t="s">
        <v>2681</v>
      </c>
      <c r="E141" s="53" t="s">
        <v>2676</v>
      </c>
      <c r="F141" s="53" t="s">
        <v>2682</v>
      </c>
      <c r="H141" s="53" t="s">
        <v>2518</v>
      </c>
      <c r="I141" s="53" t="s">
        <v>743</v>
      </c>
    </row>
    <row r="142" customFormat="false" ht="11.25" hidden="false" customHeight="true" outlineLevel="0" collapsed="false">
      <c r="A142" s="53" t="s">
        <v>2190</v>
      </c>
      <c r="B142" s="53" t="s">
        <v>14</v>
      </c>
      <c r="C142" s="53" t="s">
        <v>2683</v>
      </c>
      <c r="D142" s="53" t="s">
        <v>2684</v>
      </c>
      <c r="E142" s="53" t="s">
        <v>2676</v>
      </c>
      <c r="F142" s="53" t="s">
        <v>2685</v>
      </c>
      <c r="H142" s="53" t="s">
        <v>2518</v>
      </c>
      <c r="I142" s="53" t="s">
        <v>743</v>
      </c>
    </row>
    <row r="143" customFormat="false" ht="11.25" hidden="false" customHeight="true" outlineLevel="0" collapsed="false">
      <c r="A143" s="53" t="s">
        <v>2190</v>
      </c>
      <c r="B143" s="53" t="s">
        <v>14</v>
      </c>
      <c r="C143" s="53" t="s">
        <v>2686</v>
      </c>
      <c r="D143" s="53" t="s">
        <v>2687</v>
      </c>
      <c r="E143" s="53" t="s">
        <v>2688</v>
      </c>
      <c r="F143" s="53" t="s">
        <v>2226</v>
      </c>
      <c r="H143" s="53" t="s">
        <v>2689</v>
      </c>
      <c r="I143" s="53" t="s">
        <v>743</v>
      </c>
    </row>
    <row r="144" customFormat="false" ht="11.25" hidden="false" customHeight="true" outlineLevel="0" collapsed="false">
      <c r="A144" s="53" t="s">
        <v>2190</v>
      </c>
      <c r="B144" s="53" t="s">
        <v>14</v>
      </c>
      <c r="C144" s="53" t="s">
        <v>2690</v>
      </c>
      <c r="D144" s="53" t="s">
        <v>2691</v>
      </c>
      <c r="E144" s="53" t="s">
        <v>2692</v>
      </c>
      <c r="F144" s="53" t="s">
        <v>2427</v>
      </c>
      <c r="H144" s="53" t="s">
        <v>2693</v>
      </c>
      <c r="I144" s="53" t="s">
        <v>743</v>
      </c>
    </row>
    <row r="145" customFormat="false" ht="11.25" hidden="false" customHeight="true" outlineLevel="0" collapsed="false">
      <c r="A145" s="53" t="s">
        <v>2190</v>
      </c>
      <c r="B145" s="53" t="s">
        <v>14</v>
      </c>
      <c r="C145" s="53" t="s">
        <v>2694</v>
      </c>
      <c r="D145" s="53" t="s">
        <v>2695</v>
      </c>
      <c r="E145" s="53" t="s">
        <v>2696</v>
      </c>
      <c r="F145" s="53" t="s">
        <v>2427</v>
      </c>
      <c r="H145" s="53" t="s">
        <v>2697</v>
      </c>
      <c r="I145" s="53" t="s">
        <v>743</v>
      </c>
    </row>
    <row r="146" customFormat="false" ht="11.25" hidden="false" customHeight="true" outlineLevel="0" collapsed="false">
      <c r="A146" s="53" t="s">
        <v>2190</v>
      </c>
      <c r="B146" s="53" t="s">
        <v>14</v>
      </c>
      <c r="C146" s="53" t="s">
        <v>2698</v>
      </c>
      <c r="D146" s="53" t="s">
        <v>2699</v>
      </c>
      <c r="E146" s="53" t="s">
        <v>2700</v>
      </c>
      <c r="F146" s="53" t="s">
        <v>2226</v>
      </c>
      <c r="I146" s="53" t="s">
        <v>743</v>
      </c>
    </row>
    <row r="147" customFormat="false" ht="11.25" hidden="false" customHeight="true" outlineLevel="0" collapsed="false">
      <c r="A147" s="53" t="s">
        <v>2190</v>
      </c>
      <c r="B147" s="53" t="s">
        <v>14</v>
      </c>
      <c r="C147" s="53" t="s">
        <v>2701</v>
      </c>
      <c r="D147" s="53" t="s">
        <v>2702</v>
      </c>
      <c r="E147" s="53" t="s">
        <v>2703</v>
      </c>
      <c r="F147" s="53" t="s">
        <v>2258</v>
      </c>
      <c r="G147" s="53" t="s">
        <v>2269</v>
      </c>
      <c r="H147" s="53" t="s">
        <v>2704</v>
      </c>
      <c r="I147" s="53" t="s">
        <v>743</v>
      </c>
    </row>
    <row r="148" customFormat="false" ht="11.25" hidden="false" customHeight="true" outlineLevel="0" collapsed="false">
      <c r="A148" s="53" t="s">
        <v>2190</v>
      </c>
      <c r="B148" s="53" t="s">
        <v>14</v>
      </c>
      <c r="C148" s="53" t="s">
        <v>2705</v>
      </c>
      <c r="D148" s="53" t="s">
        <v>2706</v>
      </c>
      <c r="E148" s="53" t="s">
        <v>2275</v>
      </c>
      <c r="F148" s="53" t="s">
        <v>2262</v>
      </c>
      <c r="H148" s="53" t="s">
        <v>2664</v>
      </c>
      <c r="I148" s="53" t="s">
        <v>743</v>
      </c>
    </row>
    <row r="149" customFormat="false" ht="11.25" hidden="false" customHeight="true" outlineLevel="0" collapsed="false">
      <c r="A149" s="53" t="s">
        <v>2190</v>
      </c>
      <c r="B149" s="53" t="s">
        <v>14</v>
      </c>
      <c r="C149" s="53" t="s">
        <v>2707</v>
      </c>
      <c r="D149" s="53" t="s">
        <v>2706</v>
      </c>
      <c r="E149" s="53" t="s">
        <v>2275</v>
      </c>
      <c r="F149" s="53" t="s">
        <v>2708</v>
      </c>
      <c r="H149" s="53" t="s">
        <v>2664</v>
      </c>
      <c r="I149" s="53" t="s">
        <v>743</v>
      </c>
    </row>
    <row r="150" customFormat="false" ht="11.25" hidden="false" customHeight="true" outlineLevel="0" collapsed="false">
      <c r="A150" s="53" t="s">
        <v>2190</v>
      </c>
      <c r="B150" s="53" t="s">
        <v>14</v>
      </c>
      <c r="C150" s="53" t="s">
        <v>2709</v>
      </c>
      <c r="D150" s="53" t="s">
        <v>2710</v>
      </c>
      <c r="E150" s="53" t="s">
        <v>2275</v>
      </c>
      <c r="F150" s="53" t="s">
        <v>2711</v>
      </c>
      <c r="H150" s="53" t="s">
        <v>2664</v>
      </c>
      <c r="I150" s="53" t="s">
        <v>743</v>
      </c>
    </row>
    <row r="151" customFormat="false" ht="11.25" hidden="false" customHeight="true" outlineLevel="0" collapsed="false">
      <c r="A151" s="53" t="s">
        <v>2190</v>
      </c>
      <c r="B151" s="53" t="s">
        <v>14</v>
      </c>
      <c r="C151" s="53" t="s">
        <v>2712</v>
      </c>
      <c r="D151" s="53" t="s">
        <v>2713</v>
      </c>
      <c r="E151" s="53" t="s">
        <v>2714</v>
      </c>
      <c r="F151" s="53" t="s">
        <v>2254</v>
      </c>
      <c r="H151" s="53" t="s">
        <v>2381</v>
      </c>
      <c r="I151" s="53" t="s">
        <v>743</v>
      </c>
    </row>
    <row r="152" customFormat="false" ht="11.25" hidden="false" customHeight="true" outlineLevel="0" collapsed="false">
      <c r="A152" s="53" t="s">
        <v>2190</v>
      </c>
      <c r="B152" s="53" t="s">
        <v>14</v>
      </c>
      <c r="C152" s="53" t="s">
        <v>2715</v>
      </c>
      <c r="D152" s="53" t="s">
        <v>2716</v>
      </c>
      <c r="E152" s="53" t="s">
        <v>2717</v>
      </c>
      <c r="F152" s="53" t="s">
        <v>2226</v>
      </c>
      <c r="H152" s="53" t="s">
        <v>2381</v>
      </c>
      <c r="I152" s="53" t="s">
        <v>743</v>
      </c>
    </row>
    <row r="153" customFormat="false" ht="11.25" hidden="false" customHeight="true" outlineLevel="0" collapsed="false">
      <c r="A153" s="53" t="s">
        <v>2190</v>
      </c>
      <c r="B153" s="53" t="s">
        <v>14</v>
      </c>
      <c r="C153" s="53" t="s">
        <v>2718</v>
      </c>
      <c r="D153" s="53" t="s">
        <v>2719</v>
      </c>
      <c r="E153" s="53" t="s">
        <v>2720</v>
      </c>
      <c r="F153" s="53" t="s">
        <v>2249</v>
      </c>
      <c r="I153" s="53" t="s">
        <v>743</v>
      </c>
    </row>
    <row r="154" customFormat="false" ht="11.25" hidden="false" customHeight="true" outlineLevel="0" collapsed="false">
      <c r="A154" s="53" t="s">
        <v>2190</v>
      </c>
      <c r="B154" s="53" t="s">
        <v>14</v>
      </c>
      <c r="C154" s="53" t="s">
        <v>2721</v>
      </c>
      <c r="D154" s="53" t="s">
        <v>2722</v>
      </c>
      <c r="E154" s="53" t="s">
        <v>2723</v>
      </c>
      <c r="F154" s="53" t="s">
        <v>2262</v>
      </c>
      <c r="H154" s="53" t="s">
        <v>2724</v>
      </c>
      <c r="I154" s="53" t="s">
        <v>743</v>
      </c>
    </row>
    <row r="155" customFormat="false" ht="11.25" hidden="false" customHeight="true" outlineLevel="0" collapsed="false">
      <c r="A155" s="53" t="s">
        <v>2190</v>
      </c>
      <c r="B155" s="53" t="s">
        <v>14</v>
      </c>
      <c r="C155" s="53" t="s">
        <v>2725</v>
      </c>
      <c r="D155" s="53" t="s">
        <v>2726</v>
      </c>
      <c r="E155" s="53" t="s">
        <v>2631</v>
      </c>
      <c r="F155" s="53" t="s">
        <v>2727</v>
      </c>
      <c r="H155" s="53" t="s">
        <v>2728</v>
      </c>
      <c r="I155" s="53" t="s">
        <v>743</v>
      </c>
    </row>
    <row r="156" customFormat="false" ht="11.25" hidden="false" customHeight="true" outlineLevel="0" collapsed="false">
      <c r="A156" s="53" t="s">
        <v>2190</v>
      </c>
      <c r="B156" s="53" t="s">
        <v>14</v>
      </c>
      <c r="C156" s="53" t="s">
        <v>2729</v>
      </c>
      <c r="D156" s="53" t="s">
        <v>2730</v>
      </c>
      <c r="E156" s="53" t="s">
        <v>2631</v>
      </c>
      <c r="F156" s="53" t="s">
        <v>2731</v>
      </c>
      <c r="H156" s="53" t="s">
        <v>2728</v>
      </c>
      <c r="I156" s="53" t="s">
        <v>743</v>
      </c>
    </row>
    <row r="157" customFormat="false" ht="11.25" hidden="false" customHeight="true" outlineLevel="0" collapsed="false">
      <c r="A157" s="53" t="s">
        <v>2190</v>
      </c>
      <c r="B157" s="53" t="s">
        <v>14</v>
      </c>
      <c r="C157" s="53" t="s">
        <v>2732</v>
      </c>
      <c r="D157" s="53" t="s">
        <v>2733</v>
      </c>
      <c r="E157" s="53" t="s">
        <v>2631</v>
      </c>
      <c r="F157" s="53" t="s">
        <v>2734</v>
      </c>
      <c r="H157" s="53" t="s">
        <v>2728</v>
      </c>
      <c r="I157" s="53" t="s">
        <v>743</v>
      </c>
    </row>
    <row r="158" customFormat="false" ht="11.25" hidden="false" customHeight="true" outlineLevel="0" collapsed="false">
      <c r="A158" s="53" t="s">
        <v>2190</v>
      </c>
      <c r="B158" s="53" t="s">
        <v>14</v>
      </c>
      <c r="C158" s="53" t="s">
        <v>2735</v>
      </c>
      <c r="D158" s="53" t="s">
        <v>2736</v>
      </c>
      <c r="E158" s="53" t="s">
        <v>2631</v>
      </c>
      <c r="F158" s="53" t="s">
        <v>2737</v>
      </c>
      <c r="H158" s="53" t="s">
        <v>2728</v>
      </c>
      <c r="I158" s="53" t="s">
        <v>743</v>
      </c>
    </row>
    <row r="159" customFormat="false" ht="11.25" hidden="false" customHeight="true" outlineLevel="0" collapsed="false">
      <c r="A159" s="53" t="s">
        <v>2190</v>
      </c>
      <c r="B159" s="53" t="s">
        <v>14</v>
      </c>
      <c r="C159" s="53" t="s">
        <v>2738</v>
      </c>
      <c r="D159" s="53" t="s">
        <v>2739</v>
      </c>
      <c r="E159" s="53" t="s">
        <v>2740</v>
      </c>
      <c r="F159" s="53" t="s">
        <v>2258</v>
      </c>
      <c r="H159" s="53" t="s">
        <v>2741</v>
      </c>
      <c r="I159" s="53" t="s">
        <v>743</v>
      </c>
    </row>
    <row r="160" customFormat="false" ht="11.25" hidden="false" customHeight="true" outlineLevel="0" collapsed="false">
      <c r="A160" s="53" t="s">
        <v>2190</v>
      </c>
      <c r="B160" s="53" t="s">
        <v>14</v>
      </c>
      <c r="C160" s="53" t="s">
        <v>2742</v>
      </c>
      <c r="D160" s="53" t="s">
        <v>2743</v>
      </c>
      <c r="E160" s="53" t="s">
        <v>2744</v>
      </c>
      <c r="F160" s="53" t="s">
        <v>2258</v>
      </c>
      <c r="I160" s="53" t="s">
        <v>743</v>
      </c>
    </row>
    <row r="161" customFormat="false" ht="11.25" hidden="false" customHeight="true" outlineLevel="0" collapsed="false">
      <c r="A161" s="53" t="s">
        <v>2190</v>
      </c>
      <c r="B161" s="53" t="s">
        <v>14</v>
      </c>
      <c r="C161" s="53" t="s">
        <v>2745</v>
      </c>
      <c r="D161" s="53" t="s">
        <v>2746</v>
      </c>
      <c r="E161" s="53" t="s">
        <v>2747</v>
      </c>
      <c r="F161" s="53" t="s">
        <v>2748</v>
      </c>
      <c r="G161" s="53" t="s">
        <v>2749</v>
      </c>
      <c r="I161" s="53" t="s">
        <v>743</v>
      </c>
    </row>
    <row r="162" customFormat="false" ht="11.25" hidden="false" customHeight="true" outlineLevel="0" collapsed="false">
      <c r="A162" s="53" t="s">
        <v>2190</v>
      </c>
      <c r="B162" s="53" t="s">
        <v>14</v>
      </c>
      <c r="C162" s="53" t="s">
        <v>2750</v>
      </c>
      <c r="D162" s="53" t="s">
        <v>2751</v>
      </c>
      <c r="E162" s="53" t="s">
        <v>2752</v>
      </c>
      <c r="F162" s="53" t="s">
        <v>2753</v>
      </c>
      <c r="G162" s="53" t="s">
        <v>2754</v>
      </c>
      <c r="I162" s="53" t="s">
        <v>743</v>
      </c>
    </row>
    <row r="163" customFormat="false" ht="11.25" hidden="false" customHeight="true" outlineLevel="0" collapsed="false">
      <c r="A163" s="53" t="s">
        <v>2190</v>
      </c>
      <c r="B163" s="53" t="s">
        <v>14</v>
      </c>
      <c r="C163" s="53" t="s">
        <v>2755</v>
      </c>
      <c r="D163" s="53" t="s">
        <v>2756</v>
      </c>
      <c r="E163" s="53" t="s">
        <v>2757</v>
      </c>
      <c r="F163" s="53" t="s">
        <v>2758</v>
      </c>
      <c r="H163" s="53" t="s">
        <v>2759</v>
      </c>
      <c r="I163" s="53" t="s">
        <v>743</v>
      </c>
    </row>
    <row r="164" customFormat="false" ht="11.25" hidden="false" customHeight="true" outlineLevel="0" collapsed="false">
      <c r="A164" s="53" t="s">
        <v>2190</v>
      </c>
      <c r="B164" s="53" t="s">
        <v>14</v>
      </c>
      <c r="C164" s="53" t="s">
        <v>2760</v>
      </c>
      <c r="D164" s="53" t="s">
        <v>2761</v>
      </c>
      <c r="E164" s="53" t="s">
        <v>2762</v>
      </c>
      <c r="F164" s="53" t="s">
        <v>2748</v>
      </c>
      <c r="G164" s="53" t="s">
        <v>2763</v>
      </c>
      <c r="I164" s="53" t="s">
        <v>743</v>
      </c>
    </row>
    <row r="165" customFormat="false" ht="11.25" hidden="false" customHeight="true" outlineLevel="0" collapsed="false">
      <c r="A165" s="53" t="s">
        <v>2190</v>
      </c>
      <c r="B165" s="53" t="s">
        <v>14</v>
      </c>
      <c r="C165" s="53" t="s">
        <v>2764</v>
      </c>
      <c r="D165" s="53" t="s">
        <v>2765</v>
      </c>
      <c r="E165" s="53" t="s">
        <v>2766</v>
      </c>
      <c r="F165" s="53" t="s">
        <v>2767</v>
      </c>
      <c r="G165" s="53" t="s">
        <v>2768</v>
      </c>
      <c r="I165" s="53" t="s">
        <v>743</v>
      </c>
    </row>
    <row r="166" customFormat="false" ht="11.25" hidden="false" customHeight="true" outlineLevel="0" collapsed="false">
      <c r="A166" s="53" t="s">
        <v>2190</v>
      </c>
      <c r="B166" s="53" t="s">
        <v>14</v>
      </c>
      <c r="C166" s="53" t="s">
        <v>2769</v>
      </c>
      <c r="D166" s="53" t="s">
        <v>43</v>
      </c>
      <c r="E166" s="53" t="s">
        <v>46</v>
      </c>
      <c r="F166" s="53" t="s">
        <v>48</v>
      </c>
      <c r="G166" s="53" t="s">
        <v>2770</v>
      </c>
      <c r="I166" s="53" t="s">
        <v>743</v>
      </c>
    </row>
    <row r="167" customFormat="false" ht="11.25" hidden="false" customHeight="true" outlineLevel="0" collapsed="false">
      <c r="A167" s="53" t="s">
        <v>2190</v>
      </c>
      <c r="B167" s="53" t="s">
        <v>14</v>
      </c>
      <c r="C167" s="53" t="s">
        <v>2771</v>
      </c>
      <c r="D167" s="53" t="s">
        <v>2772</v>
      </c>
      <c r="E167" s="53" t="s">
        <v>2773</v>
      </c>
      <c r="F167" s="53" t="s">
        <v>2774</v>
      </c>
      <c r="H167" s="53" t="s">
        <v>2775</v>
      </c>
      <c r="I167" s="53" t="s">
        <v>743</v>
      </c>
    </row>
    <row r="168" customFormat="false" ht="11.25" hidden="false" customHeight="true" outlineLevel="0" collapsed="false">
      <c r="A168" s="53" t="s">
        <v>2190</v>
      </c>
      <c r="B168" s="53" t="s">
        <v>14</v>
      </c>
      <c r="C168" s="53" t="s">
        <v>2776</v>
      </c>
      <c r="D168" s="53" t="s">
        <v>2777</v>
      </c>
      <c r="E168" s="53" t="s">
        <v>2778</v>
      </c>
      <c r="F168" s="53" t="s">
        <v>2258</v>
      </c>
      <c r="G168" s="53" t="s">
        <v>2779</v>
      </c>
      <c r="I168" s="53" t="s">
        <v>743</v>
      </c>
    </row>
    <row r="169" customFormat="false" ht="11.25" hidden="false" customHeight="true" outlineLevel="0" collapsed="false">
      <c r="A169" s="53" t="s">
        <v>2190</v>
      </c>
      <c r="B169" s="53" t="s">
        <v>14</v>
      </c>
      <c r="C169" s="53" t="s">
        <v>2780</v>
      </c>
      <c r="D169" s="53" t="s">
        <v>2781</v>
      </c>
      <c r="E169" s="53" t="s">
        <v>2782</v>
      </c>
      <c r="F169" s="53" t="s">
        <v>2409</v>
      </c>
      <c r="G169" s="53" t="s">
        <v>2783</v>
      </c>
      <c r="I169" s="53" t="s">
        <v>743</v>
      </c>
    </row>
    <row r="170" customFormat="false" ht="11.25" hidden="false" customHeight="true" outlineLevel="0" collapsed="false">
      <c r="A170" s="53" t="s">
        <v>2190</v>
      </c>
      <c r="B170" s="53" t="s">
        <v>14</v>
      </c>
      <c r="C170" s="53" t="s">
        <v>2784</v>
      </c>
      <c r="D170" s="53" t="s">
        <v>2785</v>
      </c>
      <c r="E170" s="53" t="s">
        <v>2786</v>
      </c>
      <c r="F170" s="53" t="s">
        <v>2258</v>
      </c>
      <c r="G170" s="53" t="s">
        <v>2787</v>
      </c>
      <c r="I170" s="53" t="s">
        <v>743</v>
      </c>
    </row>
    <row r="171" customFormat="false" ht="11.25" hidden="false" customHeight="true" outlineLevel="0" collapsed="false">
      <c r="A171" s="53" t="s">
        <v>2190</v>
      </c>
      <c r="B171" s="53" t="s">
        <v>14</v>
      </c>
      <c r="C171" s="53" t="s">
        <v>2788</v>
      </c>
      <c r="D171" s="53" t="s">
        <v>2789</v>
      </c>
      <c r="E171" s="53" t="s">
        <v>2740</v>
      </c>
      <c r="F171" s="53" t="s">
        <v>2585</v>
      </c>
      <c r="H171" s="53" t="s">
        <v>2518</v>
      </c>
      <c r="I171" s="53" t="s">
        <v>743</v>
      </c>
    </row>
    <row r="172" customFormat="false" ht="11.25" hidden="false" customHeight="true" outlineLevel="0" collapsed="false">
      <c r="A172" s="53" t="s">
        <v>2190</v>
      </c>
      <c r="B172" s="53" t="s">
        <v>14</v>
      </c>
      <c r="C172" s="53" t="s">
        <v>2790</v>
      </c>
      <c r="D172" s="53" t="s">
        <v>2791</v>
      </c>
      <c r="E172" s="53" t="s">
        <v>2740</v>
      </c>
      <c r="F172" s="53" t="s">
        <v>2254</v>
      </c>
      <c r="H172" s="53" t="s">
        <v>2518</v>
      </c>
      <c r="I172" s="53" t="s">
        <v>743</v>
      </c>
    </row>
    <row r="173" customFormat="false" ht="11.25" hidden="false" customHeight="true" outlineLevel="0" collapsed="false">
      <c r="A173" s="53" t="s">
        <v>2190</v>
      </c>
      <c r="B173" s="53" t="s">
        <v>14</v>
      </c>
      <c r="C173" s="53" t="s">
        <v>2792</v>
      </c>
      <c r="D173" s="53" t="s">
        <v>2793</v>
      </c>
      <c r="E173" s="53" t="s">
        <v>2740</v>
      </c>
      <c r="F173" s="53" t="s">
        <v>2794</v>
      </c>
      <c r="H173" s="53" t="s">
        <v>2518</v>
      </c>
      <c r="I173" s="53" t="s">
        <v>743</v>
      </c>
    </row>
    <row r="174" customFormat="false" ht="11.25" hidden="false" customHeight="true" outlineLevel="0" collapsed="false">
      <c r="A174" s="53" t="s">
        <v>2190</v>
      </c>
      <c r="B174" s="53" t="s">
        <v>14</v>
      </c>
      <c r="C174" s="53" t="s">
        <v>2795</v>
      </c>
      <c r="D174" s="53" t="s">
        <v>2796</v>
      </c>
      <c r="E174" s="53" t="s">
        <v>2797</v>
      </c>
      <c r="F174" s="53" t="s">
        <v>2222</v>
      </c>
      <c r="G174" s="53" t="s">
        <v>2798</v>
      </c>
      <c r="I174" s="53" t="s">
        <v>743</v>
      </c>
    </row>
    <row r="175" customFormat="false" ht="11.25" hidden="false" customHeight="true" outlineLevel="0" collapsed="false">
      <c r="A175" s="53" t="s">
        <v>2190</v>
      </c>
      <c r="B175" s="53" t="s">
        <v>14</v>
      </c>
      <c r="C175" s="53" t="s">
        <v>2799</v>
      </c>
      <c r="D175" s="53" t="s">
        <v>2800</v>
      </c>
      <c r="E175" s="53" t="s">
        <v>2801</v>
      </c>
      <c r="F175" s="53" t="s">
        <v>2254</v>
      </c>
      <c r="H175" s="53" t="s">
        <v>2802</v>
      </c>
      <c r="I175" s="53" t="s">
        <v>743</v>
      </c>
    </row>
    <row r="176" customFormat="false" ht="11.25" hidden="false" customHeight="true" outlineLevel="0" collapsed="false">
      <c r="A176" s="53" t="s">
        <v>2190</v>
      </c>
      <c r="B176" s="53" t="s">
        <v>14</v>
      </c>
      <c r="C176" s="53" t="s">
        <v>2803</v>
      </c>
      <c r="D176" s="53" t="s">
        <v>2804</v>
      </c>
      <c r="E176" s="53" t="s">
        <v>2805</v>
      </c>
      <c r="F176" s="53" t="s">
        <v>2254</v>
      </c>
      <c r="G176" s="53" t="s">
        <v>2420</v>
      </c>
      <c r="I176" s="53" t="s">
        <v>743</v>
      </c>
    </row>
    <row r="177" customFormat="false" ht="11.25" hidden="false" customHeight="true" outlineLevel="0" collapsed="false">
      <c r="A177" s="53" t="s">
        <v>2190</v>
      </c>
      <c r="B177" s="53" t="s">
        <v>14</v>
      </c>
      <c r="C177" s="53" t="s">
        <v>2806</v>
      </c>
      <c r="D177" s="53" t="s">
        <v>2807</v>
      </c>
      <c r="E177" s="53" t="s">
        <v>2808</v>
      </c>
      <c r="F177" s="53" t="s">
        <v>2585</v>
      </c>
      <c r="H177" s="53" t="s">
        <v>2312</v>
      </c>
      <c r="I177" s="53" t="s">
        <v>743</v>
      </c>
    </row>
    <row r="178" customFormat="false" ht="11.25" hidden="false" customHeight="true" outlineLevel="0" collapsed="false">
      <c r="A178" s="53" t="s">
        <v>2190</v>
      </c>
      <c r="B178" s="53" t="s">
        <v>14</v>
      </c>
      <c r="C178" s="53" t="s">
        <v>2809</v>
      </c>
      <c r="D178" s="53" t="s">
        <v>2807</v>
      </c>
      <c r="E178" s="53" t="s">
        <v>2808</v>
      </c>
      <c r="F178" s="53" t="s">
        <v>2254</v>
      </c>
      <c r="H178" s="53" t="s">
        <v>2810</v>
      </c>
      <c r="I178" s="53" t="s">
        <v>743</v>
      </c>
    </row>
    <row r="179" customFormat="false" ht="11.25" hidden="false" customHeight="true" outlineLevel="0" collapsed="false">
      <c r="A179" s="53" t="s">
        <v>2190</v>
      </c>
      <c r="B179" s="53" t="s">
        <v>14</v>
      </c>
      <c r="C179" s="53" t="s">
        <v>2811</v>
      </c>
      <c r="D179" s="53" t="s">
        <v>2812</v>
      </c>
      <c r="E179" s="53" t="s">
        <v>2813</v>
      </c>
      <c r="F179" s="53" t="s">
        <v>2427</v>
      </c>
      <c r="H179" s="53" t="s">
        <v>2398</v>
      </c>
      <c r="I179" s="53" t="s">
        <v>743</v>
      </c>
    </row>
    <row r="180" customFormat="false" ht="11.25" hidden="false" customHeight="true" outlineLevel="0" collapsed="false">
      <c r="A180" s="53" t="s">
        <v>2190</v>
      </c>
      <c r="B180" s="53" t="s">
        <v>14</v>
      </c>
      <c r="C180" s="53" t="s">
        <v>2814</v>
      </c>
      <c r="D180" s="53" t="s">
        <v>2815</v>
      </c>
      <c r="E180" s="53" t="s">
        <v>2816</v>
      </c>
      <c r="F180" s="53" t="s">
        <v>2409</v>
      </c>
      <c r="I180" s="53" t="s">
        <v>743</v>
      </c>
    </row>
    <row r="181" customFormat="false" ht="11.25" hidden="false" customHeight="true" outlineLevel="0" collapsed="false">
      <c r="A181" s="53" t="s">
        <v>2190</v>
      </c>
      <c r="B181" s="53" t="s">
        <v>14</v>
      </c>
      <c r="C181" s="53" t="s">
        <v>2817</v>
      </c>
      <c r="D181" s="53" t="s">
        <v>2818</v>
      </c>
      <c r="E181" s="53" t="s">
        <v>2819</v>
      </c>
      <c r="F181" s="53" t="s">
        <v>2230</v>
      </c>
      <c r="I181" s="53" t="s">
        <v>743</v>
      </c>
    </row>
    <row r="182" customFormat="false" ht="11.25" hidden="false" customHeight="true" outlineLevel="0" collapsed="false">
      <c r="A182" s="53" t="s">
        <v>2190</v>
      </c>
      <c r="B182" s="53" t="s">
        <v>14</v>
      </c>
      <c r="C182" s="53" t="s">
        <v>2820</v>
      </c>
      <c r="D182" s="53" t="s">
        <v>2821</v>
      </c>
      <c r="E182" s="53" t="s">
        <v>2822</v>
      </c>
      <c r="F182" s="53" t="s">
        <v>2254</v>
      </c>
      <c r="I182" s="53" t="s">
        <v>743</v>
      </c>
    </row>
    <row r="183" customFormat="false" ht="11.25" hidden="false" customHeight="true" outlineLevel="0" collapsed="false">
      <c r="A183" s="53" t="s">
        <v>2190</v>
      </c>
      <c r="B183" s="53" t="s">
        <v>14</v>
      </c>
      <c r="C183" s="53" t="s">
        <v>2823</v>
      </c>
      <c r="D183" s="53" t="s">
        <v>2824</v>
      </c>
      <c r="E183" s="53" t="s">
        <v>2825</v>
      </c>
      <c r="F183" s="53" t="s">
        <v>2826</v>
      </c>
      <c r="G183" s="53" t="s">
        <v>2827</v>
      </c>
      <c r="I183" s="53" t="s">
        <v>743</v>
      </c>
    </row>
    <row r="184" customFormat="false" ht="11.25" hidden="false" customHeight="true" outlineLevel="0" collapsed="false">
      <c r="A184" s="53" t="s">
        <v>2190</v>
      </c>
      <c r="B184" s="53" t="s">
        <v>14</v>
      </c>
      <c r="C184" s="53" t="s">
        <v>2828</v>
      </c>
      <c r="D184" s="53" t="s">
        <v>2829</v>
      </c>
      <c r="E184" s="53" t="s">
        <v>2830</v>
      </c>
      <c r="F184" s="53" t="s">
        <v>2258</v>
      </c>
      <c r="H184" s="53" t="s">
        <v>2831</v>
      </c>
      <c r="I184" s="53" t="s">
        <v>743</v>
      </c>
    </row>
    <row r="185" customFormat="false" ht="11.25" hidden="false" customHeight="true" outlineLevel="0" collapsed="false">
      <c r="A185" s="53" t="s">
        <v>2190</v>
      </c>
      <c r="B185" s="53" t="s">
        <v>14</v>
      </c>
      <c r="C185" s="53" t="s">
        <v>2832</v>
      </c>
      <c r="D185" s="53" t="s">
        <v>2833</v>
      </c>
      <c r="E185" s="53" t="s">
        <v>2834</v>
      </c>
      <c r="F185" s="53" t="s">
        <v>2835</v>
      </c>
      <c r="H185" s="53" t="s">
        <v>2836</v>
      </c>
      <c r="I185" s="53" t="s">
        <v>743</v>
      </c>
    </row>
    <row r="186" customFormat="false" ht="11.25" hidden="false" customHeight="true" outlineLevel="0" collapsed="false">
      <c r="A186" s="53" t="s">
        <v>2190</v>
      </c>
      <c r="B186" s="53" t="s">
        <v>14</v>
      </c>
      <c r="C186" s="53" t="s">
        <v>2837</v>
      </c>
      <c r="D186" s="53" t="s">
        <v>2838</v>
      </c>
      <c r="E186" s="53" t="s">
        <v>2839</v>
      </c>
      <c r="F186" s="53" t="s">
        <v>2230</v>
      </c>
      <c r="H186" s="53" t="s">
        <v>2840</v>
      </c>
      <c r="I186" s="53" t="s">
        <v>743</v>
      </c>
    </row>
    <row r="187" customFormat="false" ht="11.25" hidden="false" customHeight="true" outlineLevel="0" collapsed="false">
      <c r="A187" s="53" t="s">
        <v>2190</v>
      </c>
      <c r="B187" s="53" t="s">
        <v>14</v>
      </c>
      <c r="C187" s="53" t="s">
        <v>2841</v>
      </c>
      <c r="D187" s="53" t="s">
        <v>2842</v>
      </c>
      <c r="E187" s="53" t="s">
        <v>2843</v>
      </c>
      <c r="F187" s="53" t="s">
        <v>2409</v>
      </c>
      <c r="G187" s="53" t="s">
        <v>2844</v>
      </c>
      <c r="I187" s="53" t="s">
        <v>743</v>
      </c>
    </row>
    <row r="188" customFormat="false" ht="11.25" hidden="false" customHeight="true" outlineLevel="0" collapsed="false">
      <c r="A188" s="53" t="s">
        <v>2190</v>
      </c>
      <c r="B188" s="53" t="s">
        <v>14</v>
      </c>
      <c r="C188" s="53" t="s">
        <v>2845</v>
      </c>
      <c r="D188" s="53" t="s">
        <v>2846</v>
      </c>
      <c r="E188" s="53" t="s">
        <v>2847</v>
      </c>
      <c r="F188" s="53" t="s">
        <v>2258</v>
      </c>
      <c r="I188" s="53" t="s">
        <v>743</v>
      </c>
    </row>
    <row r="189" customFormat="false" ht="11.25" hidden="false" customHeight="true" outlineLevel="0" collapsed="false">
      <c r="A189" s="53" t="s">
        <v>2190</v>
      </c>
      <c r="B189" s="53" t="s">
        <v>14</v>
      </c>
      <c r="C189" s="53" t="s">
        <v>2848</v>
      </c>
      <c r="D189" s="53" t="s">
        <v>2849</v>
      </c>
      <c r="E189" s="53" t="s">
        <v>2850</v>
      </c>
      <c r="F189" s="53" t="s">
        <v>2222</v>
      </c>
      <c r="H189" s="53" t="s">
        <v>2851</v>
      </c>
      <c r="I189" s="53" t="s">
        <v>743</v>
      </c>
    </row>
    <row r="190" customFormat="false" ht="11.25" hidden="false" customHeight="true" outlineLevel="0" collapsed="false">
      <c r="A190" s="53" t="s">
        <v>2190</v>
      </c>
      <c r="B190" s="53" t="s">
        <v>14</v>
      </c>
      <c r="C190" s="53" t="s">
        <v>2852</v>
      </c>
      <c r="D190" s="53" t="s">
        <v>2853</v>
      </c>
      <c r="E190" s="53" t="s">
        <v>2854</v>
      </c>
      <c r="F190" s="53" t="s">
        <v>2226</v>
      </c>
      <c r="H190" s="53" t="s">
        <v>2298</v>
      </c>
      <c r="I190" s="53" t="s">
        <v>743</v>
      </c>
    </row>
    <row r="191" customFormat="false" ht="11.25" hidden="false" customHeight="true" outlineLevel="0" collapsed="false">
      <c r="A191" s="53" t="s">
        <v>2190</v>
      </c>
      <c r="B191" s="53" t="s">
        <v>14</v>
      </c>
      <c r="C191" s="53" t="s">
        <v>2855</v>
      </c>
      <c r="D191" s="53" t="s">
        <v>2856</v>
      </c>
      <c r="E191" s="53" t="s">
        <v>2857</v>
      </c>
      <c r="F191" s="53" t="s">
        <v>2835</v>
      </c>
      <c r="I191" s="53" t="s">
        <v>743</v>
      </c>
    </row>
    <row r="192" customFormat="false" ht="11.25" hidden="false" customHeight="true" outlineLevel="0" collapsed="false">
      <c r="A192" s="53" t="s">
        <v>2190</v>
      </c>
      <c r="B192" s="53" t="s">
        <v>14</v>
      </c>
      <c r="C192" s="53" t="s">
        <v>2858</v>
      </c>
      <c r="D192" s="53" t="s">
        <v>2859</v>
      </c>
      <c r="E192" s="53" t="s">
        <v>2860</v>
      </c>
      <c r="F192" s="53" t="s">
        <v>2585</v>
      </c>
      <c r="I192" s="53" t="s">
        <v>743</v>
      </c>
    </row>
    <row r="193" customFormat="false" ht="11.25" hidden="false" customHeight="true" outlineLevel="0" collapsed="false">
      <c r="A193" s="53" t="s">
        <v>2190</v>
      </c>
      <c r="B193" s="53" t="s">
        <v>14</v>
      </c>
      <c r="C193" s="53" t="s">
        <v>2861</v>
      </c>
      <c r="D193" s="53" t="s">
        <v>2862</v>
      </c>
      <c r="E193" s="53" t="s">
        <v>2863</v>
      </c>
      <c r="F193" s="53" t="s">
        <v>2708</v>
      </c>
      <c r="H193" s="53" t="s">
        <v>2398</v>
      </c>
      <c r="I193" s="53" t="s">
        <v>743</v>
      </c>
    </row>
    <row r="194" customFormat="false" ht="11.25" hidden="false" customHeight="true" outlineLevel="0" collapsed="false">
      <c r="A194" s="53" t="s">
        <v>2190</v>
      </c>
      <c r="B194" s="53" t="s">
        <v>14</v>
      </c>
      <c r="C194" s="53" t="s">
        <v>2864</v>
      </c>
      <c r="D194" s="53" t="s">
        <v>2865</v>
      </c>
      <c r="E194" s="53" t="s">
        <v>2863</v>
      </c>
      <c r="F194" s="53" t="s">
        <v>2254</v>
      </c>
      <c r="H194" s="53" t="s">
        <v>2398</v>
      </c>
      <c r="I194" s="53" t="s">
        <v>743</v>
      </c>
    </row>
    <row r="195" customFormat="false" ht="11.25" hidden="false" customHeight="true" outlineLevel="0" collapsed="false">
      <c r="A195" s="53" t="s">
        <v>2190</v>
      </c>
      <c r="B195" s="53" t="s">
        <v>14</v>
      </c>
      <c r="C195" s="53" t="s">
        <v>2866</v>
      </c>
      <c r="D195" s="53" t="s">
        <v>2867</v>
      </c>
      <c r="E195" s="53" t="s">
        <v>2868</v>
      </c>
      <c r="F195" s="53" t="s">
        <v>2222</v>
      </c>
      <c r="H195" s="53" t="s">
        <v>2432</v>
      </c>
      <c r="I195" s="53" t="s">
        <v>743</v>
      </c>
    </row>
    <row r="196" customFormat="false" ht="11.25" hidden="false" customHeight="true" outlineLevel="0" collapsed="false">
      <c r="A196" s="53" t="s">
        <v>2190</v>
      </c>
      <c r="B196" s="53" t="s">
        <v>14</v>
      </c>
      <c r="C196" s="53" t="s">
        <v>2869</v>
      </c>
      <c r="D196" s="53" t="s">
        <v>2870</v>
      </c>
      <c r="E196" s="53" t="s">
        <v>2871</v>
      </c>
      <c r="F196" s="53" t="s">
        <v>2222</v>
      </c>
      <c r="G196" s="53" t="s">
        <v>2872</v>
      </c>
      <c r="I196" s="53" t="s">
        <v>743</v>
      </c>
    </row>
    <row r="197" customFormat="false" ht="11.25" hidden="false" customHeight="true" outlineLevel="0" collapsed="false">
      <c r="A197" s="53" t="s">
        <v>2190</v>
      </c>
      <c r="B197" s="53" t="s">
        <v>14</v>
      </c>
      <c r="C197" s="53" t="s">
        <v>2873</v>
      </c>
      <c r="D197" s="53" t="s">
        <v>2874</v>
      </c>
      <c r="E197" s="53" t="s">
        <v>2875</v>
      </c>
      <c r="F197" s="53" t="s">
        <v>2238</v>
      </c>
      <c r="H197" s="53" t="s">
        <v>2810</v>
      </c>
      <c r="I197" s="53" t="s">
        <v>743</v>
      </c>
    </row>
    <row r="198" customFormat="false" ht="11.25" hidden="false" customHeight="true" outlineLevel="0" collapsed="false">
      <c r="A198" s="53" t="s">
        <v>2190</v>
      </c>
      <c r="B198" s="53" t="s">
        <v>14</v>
      </c>
      <c r="C198" s="53" t="s">
        <v>2876</v>
      </c>
      <c r="D198" s="53" t="s">
        <v>2877</v>
      </c>
      <c r="E198" s="53" t="s">
        <v>2878</v>
      </c>
      <c r="F198" s="53" t="s">
        <v>2254</v>
      </c>
      <c r="G198" s="53" t="s">
        <v>2879</v>
      </c>
      <c r="I198" s="53" t="s">
        <v>743</v>
      </c>
    </row>
    <row r="199" customFormat="false" ht="11.25" hidden="false" customHeight="true" outlineLevel="0" collapsed="false">
      <c r="A199" s="53" t="s">
        <v>2190</v>
      </c>
      <c r="B199" s="53" t="s">
        <v>14</v>
      </c>
      <c r="C199" s="53" t="s">
        <v>2880</v>
      </c>
      <c r="D199" s="53" t="s">
        <v>2881</v>
      </c>
      <c r="E199" s="53" t="s">
        <v>2882</v>
      </c>
      <c r="F199" s="53" t="s">
        <v>2883</v>
      </c>
      <c r="I199" s="53" t="s">
        <v>743</v>
      </c>
    </row>
    <row r="200" customFormat="false" ht="11.25" hidden="false" customHeight="true" outlineLevel="0" collapsed="false">
      <c r="A200" s="53" t="s">
        <v>2190</v>
      </c>
      <c r="B200" s="53" t="s">
        <v>14</v>
      </c>
      <c r="C200" s="53" t="s">
        <v>2884</v>
      </c>
      <c r="D200" s="53" t="s">
        <v>2885</v>
      </c>
      <c r="E200" s="53" t="s">
        <v>2886</v>
      </c>
      <c r="F200" s="53" t="s">
        <v>2409</v>
      </c>
      <c r="G200" s="53" t="s">
        <v>2887</v>
      </c>
      <c r="I200" s="53" t="s">
        <v>743</v>
      </c>
    </row>
    <row r="201" customFormat="false" ht="11.25" hidden="false" customHeight="true" outlineLevel="0" collapsed="false">
      <c r="A201" s="53" t="s">
        <v>2190</v>
      </c>
      <c r="B201" s="53" t="s">
        <v>14</v>
      </c>
      <c r="C201" s="53" t="s">
        <v>2888</v>
      </c>
      <c r="D201" s="53" t="s">
        <v>2889</v>
      </c>
      <c r="E201" s="53" t="s">
        <v>2890</v>
      </c>
      <c r="F201" s="53" t="s">
        <v>2258</v>
      </c>
      <c r="G201" s="53" t="s">
        <v>2891</v>
      </c>
      <c r="I201" s="53" t="s">
        <v>743</v>
      </c>
    </row>
    <row r="202" customFormat="false" ht="11.25" hidden="false" customHeight="true" outlineLevel="0" collapsed="false">
      <c r="A202" s="53" t="s">
        <v>2190</v>
      </c>
      <c r="B202" s="53" t="s">
        <v>14</v>
      </c>
      <c r="C202" s="53" t="s">
        <v>2892</v>
      </c>
      <c r="D202" s="53" t="s">
        <v>2893</v>
      </c>
      <c r="E202" s="53" t="s">
        <v>2894</v>
      </c>
      <c r="F202" s="53" t="s">
        <v>2254</v>
      </c>
      <c r="I202" s="53" t="s">
        <v>743</v>
      </c>
    </row>
    <row r="203" customFormat="false" ht="11.25" hidden="false" customHeight="true" outlineLevel="0" collapsed="false">
      <c r="A203" s="53" t="s">
        <v>2190</v>
      </c>
      <c r="B203" s="53" t="s">
        <v>14</v>
      </c>
      <c r="C203" s="53" t="s">
        <v>2895</v>
      </c>
      <c r="D203" s="53" t="s">
        <v>2896</v>
      </c>
      <c r="E203" s="53" t="s">
        <v>2897</v>
      </c>
      <c r="F203" s="53" t="s">
        <v>2409</v>
      </c>
      <c r="H203" s="53" t="s">
        <v>2547</v>
      </c>
      <c r="I203" s="53" t="s">
        <v>743</v>
      </c>
    </row>
    <row r="204" customFormat="false" ht="11.25" hidden="false" customHeight="true" outlineLevel="0" collapsed="false">
      <c r="A204" s="53" t="s">
        <v>2190</v>
      </c>
      <c r="B204" s="53" t="s">
        <v>14</v>
      </c>
      <c r="C204" s="53" t="s">
        <v>2898</v>
      </c>
      <c r="D204" s="53" t="s">
        <v>2899</v>
      </c>
      <c r="E204" s="53" t="s">
        <v>2900</v>
      </c>
      <c r="F204" s="53" t="s">
        <v>2405</v>
      </c>
      <c r="I204" s="53" t="s">
        <v>743</v>
      </c>
    </row>
    <row r="205" customFormat="false" ht="11.25" hidden="false" customHeight="true" outlineLevel="0" collapsed="false">
      <c r="A205" s="53" t="s">
        <v>2190</v>
      </c>
      <c r="B205" s="53" t="s">
        <v>14</v>
      </c>
      <c r="C205" s="53" t="s">
        <v>2901</v>
      </c>
      <c r="D205" s="53" t="s">
        <v>2902</v>
      </c>
      <c r="E205" s="53" t="s">
        <v>2903</v>
      </c>
      <c r="F205" s="53" t="s">
        <v>2258</v>
      </c>
      <c r="G205" s="53" t="s">
        <v>2904</v>
      </c>
      <c r="I205" s="53" t="s">
        <v>743</v>
      </c>
    </row>
    <row r="206" customFormat="false" ht="11.25" hidden="false" customHeight="true" outlineLevel="0" collapsed="false">
      <c r="A206" s="53" t="s">
        <v>2190</v>
      </c>
      <c r="B206" s="53" t="s">
        <v>14</v>
      </c>
      <c r="C206" s="53" t="s">
        <v>2905</v>
      </c>
      <c r="D206" s="53" t="s">
        <v>2906</v>
      </c>
      <c r="E206" s="53" t="s">
        <v>2907</v>
      </c>
      <c r="F206" s="53" t="s">
        <v>2234</v>
      </c>
      <c r="I206" s="53" t="s">
        <v>743</v>
      </c>
    </row>
    <row r="207" customFormat="false" ht="11.25" hidden="false" customHeight="true" outlineLevel="0" collapsed="false">
      <c r="A207" s="53" t="s">
        <v>2190</v>
      </c>
      <c r="B207" s="53" t="s">
        <v>14</v>
      </c>
      <c r="C207" s="53" t="s">
        <v>2908</v>
      </c>
      <c r="D207" s="53" t="s">
        <v>2909</v>
      </c>
      <c r="E207" s="53" t="s">
        <v>2910</v>
      </c>
      <c r="F207" s="53" t="s">
        <v>2409</v>
      </c>
      <c r="G207" s="53" t="s">
        <v>2911</v>
      </c>
      <c r="I207" s="53" t="s">
        <v>743</v>
      </c>
    </row>
    <row r="208" customFormat="false" ht="11.25" hidden="false" customHeight="true" outlineLevel="0" collapsed="false">
      <c r="A208" s="53" t="s">
        <v>2190</v>
      </c>
      <c r="B208" s="53" t="s">
        <v>14</v>
      </c>
      <c r="C208" s="53" t="s">
        <v>2912</v>
      </c>
      <c r="D208" s="53" t="s">
        <v>2913</v>
      </c>
      <c r="E208" s="53" t="s">
        <v>2914</v>
      </c>
      <c r="F208" s="53" t="s">
        <v>2427</v>
      </c>
      <c r="G208" s="53" t="s">
        <v>2915</v>
      </c>
      <c r="I208" s="53" t="s">
        <v>743</v>
      </c>
    </row>
    <row r="209" customFormat="false" ht="11.25" hidden="false" customHeight="true" outlineLevel="0" collapsed="false">
      <c r="A209" s="53" t="s">
        <v>2190</v>
      </c>
      <c r="B209" s="53" t="s">
        <v>14</v>
      </c>
      <c r="C209" s="53" t="s">
        <v>2916</v>
      </c>
      <c r="D209" s="53" t="s">
        <v>2917</v>
      </c>
      <c r="E209" s="53" t="s">
        <v>2918</v>
      </c>
      <c r="F209" s="53" t="s">
        <v>2409</v>
      </c>
      <c r="G209" s="53" t="s">
        <v>2919</v>
      </c>
      <c r="I209" s="53" t="s">
        <v>743</v>
      </c>
    </row>
    <row r="210" customFormat="false" ht="11.25" hidden="false" customHeight="true" outlineLevel="0" collapsed="false">
      <c r="A210" s="53" t="s">
        <v>2190</v>
      </c>
      <c r="B210" s="53" t="s">
        <v>14</v>
      </c>
      <c r="C210" s="53" t="s">
        <v>2920</v>
      </c>
      <c r="D210" s="53" t="s">
        <v>2921</v>
      </c>
      <c r="E210" s="53" t="s">
        <v>2922</v>
      </c>
      <c r="F210" s="53" t="s">
        <v>2258</v>
      </c>
      <c r="I210" s="53" t="s">
        <v>743</v>
      </c>
    </row>
    <row r="211" customFormat="false" ht="11.25" hidden="false" customHeight="true" outlineLevel="0" collapsed="false">
      <c r="A211" s="53" t="s">
        <v>2190</v>
      </c>
      <c r="B211" s="53" t="s">
        <v>14</v>
      </c>
      <c r="C211" s="53" t="s">
        <v>2923</v>
      </c>
      <c r="D211" s="53" t="s">
        <v>2924</v>
      </c>
      <c r="E211" s="53" t="s">
        <v>2925</v>
      </c>
      <c r="F211" s="53" t="s">
        <v>2926</v>
      </c>
      <c r="I211" s="53" t="s">
        <v>743</v>
      </c>
    </row>
    <row r="212" customFormat="false" ht="11.25" hidden="false" customHeight="true" outlineLevel="0" collapsed="false">
      <c r="A212" s="53" t="s">
        <v>2190</v>
      </c>
      <c r="B212" s="53" t="s">
        <v>14</v>
      </c>
      <c r="C212" s="53" t="s">
        <v>2927</v>
      </c>
      <c r="D212" s="53" t="s">
        <v>2928</v>
      </c>
      <c r="E212" s="53" t="s">
        <v>2929</v>
      </c>
      <c r="F212" s="53" t="s">
        <v>2258</v>
      </c>
      <c r="G212" s="53" t="s">
        <v>2930</v>
      </c>
      <c r="I212" s="53" t="s">
        <v>743</v>
      </c>
    </row>
    <row r="213" customFormat="false" ht="11.25" hidden="false" customHeight="true" outlineLevel="0" collapsed="false">
      <c r="A213" s="53" t="s">
        <v>2190</v>
      </c>
      <c r="B213" s="53" t="s">
        <v>14</v>
      </c>
      <c r="C213" s="53" t="s">
        <v>2931</v>
      </c>
      <c r="D213" s="53" t="s">
        <v>2932</v>
      </c>
      <c r="E213" s="53" t="s">
        <v>2933</v>
      </c>
      <c r="F213" s="53" t="s">
        <v>2258</v>
      </c>
      <c r="H213" s="53" t="s">
        <v>2934</v>
      </c>
      <c r="I213" s="53" t="s">
        <v>743</v>
      </c>
    </row>
    <row r="214" customFormat="false" ht="11.25" hidden="false" customHeight="true" outlineLevel="0" collapsed="false">
      <c r="A214" s="53" t="s">
        <v>2190</v>
      </c>
      <c r="B214" s="53" t="s">
        <v>14</v>
      </c>
      <c r="C214" s="53" t="s">
        <v>2935</v>
      </c>
      <c r="D214" s="53" t="s">
        <v>2936</v>
      </c>
      <c r="E214" s="53" t="s">
        <v>2937</v>
      </c>
      <c r="F214" s="53" t="s">
        <v>2258</v>
      </c>
      <c r="I214" s="53" t="s">
        <v>743</v>
      </c>
    </row>
    <row r="215" customFormat="false" ht="11.25" hidden="false" customHeight="true" outlineLevel="0" collapsed="false">
      <c r="A215" s="53" t="s">
        <v>2190</v>
      </c>
      <c r="B215" s="53" t="s">
        <v>14</v>
      </c>
      <c r="C215" s="53" t="s">
        <v>2938</v>
      </c>
      <c r="D215" s="53" t="s">
        <v>2939</v>
      </c>
      <c r="E215" s="53" t="s">
        <v>2940</v>
      </c>
      <c r="F215" s="53" t="s">
        <v>2258</v>
      </c>
      <c r="I215" s="53" t="s">
        <v>743</v>
      </c>
    </row>
    <row r="216" customFormat="false" ht="11.25" hidden="false" customHeight="true" outlineLevel="0" collapsed="false">
      <c r="A216" s="53" t="s">
        <v>2190</v>
      </c>
      <c r="B216" s="53" t="s">
        <v>14</v>
      </c>
      <c r="C216" s="53" t="s">
        <v>2941</v>
      </c>
      <c r="D216" s="53" t="s">
        <v>2942</v>
      </c>
      <c r="E216" s="53" t="s">
        <v>2943</v>
      </c>
      <c r="F216" s="53" t="s">
        <v>2262</v>
      </c>
      <c r="I216" s="53" t="s">
        <v>743</v>
      </c>
    </row>
    <row r="217" customFormat="false" ht="11.25" hidden="false" customHeight="true" outlineLevel="0" collapsed="false">
      <c r="A217" s="53" t="s">
        <v>2190</v>
      </c>
      <c r="B217" s="53" t="s">
        <v>14</v>
      </c>
      <c r="C217" s="53" t="s">
        <v>2944</v>
      </c>
      <c r="D217" s="53" t="s">
        <v>2945</v>
      </c>
      <c r="E217" s="53" t="s">
        <v>2943</v>
      </c>
      <c r="F217" s="53" t="s">
        <v>2946</v>
      </c>
      <c r="H217" s="53" t="s">
        <v>2552</v>
      </c>
      <c r="I217" s="53" t="s">
        <v>743</v>
      </c>
    </row>
    <row r="218" customFormat="false" ht="11.25" hidden="false" customHeight="true" outlineLevel="0" collapsed="false">
      <c r="A218" s="53" t="s">
        <v>2190</v>
      </c>
      <c r="B218" s="53" t="s">
        <v>14</v>
      </c>
      <c r="C218" s="53" t="s">
        <v>2947</v>
      </c>
      <c r="D218" s="53" t="s">
        <v>2948</v>
      </c>
      <c r="E218" s="53" t="s">
        <v>2949</v>
      </c>
      <c r="F218" s="53" t="s">
        <v>2427</v>
      </c>
      <c r="G218" s="53" t="s">
        <v>2950</v>
      </c>
      <c r="I218" s="53" t="s">
        <v>743</v>
      </c>
    </row>
    <row r="219" customFormat="false" ht="11.25" hidden="false" customHeight="true" outlineLevel="0" collapsed="false">
      <c r="A219" s="53" t="s">
        <v>2190</v>
      </c>
      <c r="B219" s="53" t="s">
        <v>14</v>
      </c>
      <c r="C219" s="53" t="s">
        <v>2951</v>
      </c>
      <c r="D219" s="53" t="s">
        <v>2952</v>
      </c>
      <c r="E219" s="53" t="s">
        <v>2953</v>
      </c>
      <c r="F219" s="53" t="s">
        <v>2226</v>
      </c>
      <c r="G219" s="53" t="s">
        <v>2213</v>
      </c>
      <c r="H219" s="53" t="s">
        <v>2704</v>
      </c>
      <c r="I219" s="53" t="s">
        <v>743</v>
      </c>
    </row>
    <row r="220" customFormat="false" ht="11.25" hidden="false" customHeight="true" outlineLevel="0" collapsed="false">
      <c r="A220" s="53" t="s">
        <v>2190</v>
      </c>
      <c r="B220" s="53" t="s">
        <v>14</v>
      </c>
      <c r="C220" s="53" t="s">
        <v>2954</v>
      </c>
      <c r="D220" s="53" t="s">
        <v>2955</v>
      </c>
      <c r="E220" s="53" t="s">
        <v>2956</v>
      </c>
      <c r="F220" s="53" t="s">
        <v>2427</v>
      </c>
      <c r="G220" s="53" t="s">
        <v>2957</v>
      </c>
      <c r="I220" s="53" t="s">
        <v>743</v>
      </c>
    </row>
    <row r="221" customFormat="false" ht="11.25" hidden="false" customHeight="true" outlineLevel="0" collapsed="false">
      <c r="A221" s="53" t="s">
        <v>2190</v>
      </c>
      <c r="B221" s="53" t="s">
        <v>14</v>
      </c>
      <c r="C221" s="53" t="s">
        <v>2958</v>
      </c>
      <c r="D221" s="53" t="s">
        <v>2959</v>
      </c>
      <c r="E221" s="53" t="s">
        <v>2960</v>
      </c>
      <c r="F221" s="53" t="s">
        <v>2427</v>
      </c>
      <c r="I221" s="53" t="s">
        <v>743</v>
      </c>
    </row>
    <row r="222" customFormat="false" ht="11.25" hidden="false" customHeight="true" outlineLevel="0" collapsed="false">
      <c r="A222" s="53" t="s">
        <v>2190</v>
      </c>
      <c r="B222" s="53" t="s">
        <v>14</v>
      </c>
      <c r="C222" s="53" t="s">
        <v>2961</v>
      </c>
      <c r="D222" s="53" t="s">
        <v>2962</v>
      </c>
      <c r="E222" s="53" t="s">
        <v>2963</v>
      </c>
      <c r="F222" s="53" t="s">
        <v>2427</v>
      </c>
      <c r="H222" s="53" t="s">
        <v>2964</v>
      </c>
      <c r="I222" s="53" t="s">
        <v>743</v>
      </c>
    </row>
    <row r="223" customFormat="false" ht="11.25" hidden="false" customHeight="true" outlineLevel="0" collapsed="false">
      <c r="A223" s="53" t="s">
        <v>2190</v>
      </c>
      <c r="B223" s="53" t="s">
        <v>14</v>
      </c>
      <c r="C223" s="53" t="s">
        <v>2965</v>
      </c>
      <c r="D223" s="53" t="s">
        <v>2966</v>
      </c>
      <c r="E223" s="53" t="s">
        <v>2953</v>
      </c>
      <c r="F223" s="53" t="s">
        <v>48</v>
      </c>
      <c r="G223" s="53" t="s">
        <v>2213</v>
      </c>
      <c r="I223" s="53" t="s">
        <v>743</v>
      </c>
    </row>
    <row r="224" customFormat="false" ht="11.25" hidden="false" customHeight="true" outlineLevel="0" collapsed="false">
      <c r="A224" s="53" t="s">
        <v>2190</v>
      </c>
      <c r="B224" s="53" t="s">
        <v>14</v>
      </c>
      <c r="C224" s="53" t="s">
        <v>2967</v>
      </c>
      <c r="D224" s="53" t="s">
        <v>2968</v>
      </c>
      <c r="E224" s="53" t="s">
        <v>2969</v>
      </c>
      <c r="F224" s="53" t="s">
        <v>2254</v>
      </c>
      <c r="I224" s="53" t="s">
        <v>743</v>
      </c>
    </row>
    <row r="225" customFormat="false" ht="11.25" hidden="false" customHeight="true" outlineLevel="0" collapsed="false">
      <c r="A225" s="53" t="s">
        <v>2190</v>
      </c>
      <c r="B225" s="53" t="s">
        <v>14</v>
      </c>
      <c r="C225" s="53" t="s">
        <v>2970</v>
      </c>
      <c r="D225" s="53" t="s">
        <v>2971</v>
      </c>
      <c r="E225" s="53" t="s">
        <v>2972</v>
      </c>
      <c r="F225" s="53" t="s">
        <v>2258</v>
      </c>
      <c r="G225" s="53" t="s">
        <v>2973</v>
      </c>
      <c r="I225" s="53" t="s">
        <v>743</v>
      </c>
    </row>
    <row r="226" customFormat="false" ht="11.25" hidden="false" customHeight="true" outlineLevel="0" collapsed="false">
      <c r="A226" s="53" t="s">
        <v>2190</v>
      </c>
      <c r="B226" s="53" t="s">
        <v>14</v>
      </c>
      <c r="C226" s="53" t="s">
        <v>2974</v>
      </c>
      <c r="D226" s="53" t="s">
        <v>2975</v>
      </c>
      <c r="E226" s="53" t="s">
        <v>2976</v>
      </c>
      <c r="F226" s="53" t="s">
        <v>2234</v>
      </c>
      <c r="H226" s="53" t="s">
        <v>2977</v>
      </c>
      <c r="I226" s="53" t="s">
        <v>743</v>
      </c>
    </row>
    <row r="227" customFormat="false" ht="11.25" hidden="false" customHeight="true" outlineLevel="0" collapsed="false">
      <c r="A227" s="53" t="s">
        <v>2190</v>
      </c>
      <c r="B227" s="53" t="s">
        <v>14</v>
      </c>
      <c r="C227" s="53" t="s">
        <v>2978</v>
      </c>
      <c r="D227" s="53" t="s">
        <v>2979</v>
      </c>
      <c r="E227" s="53" t="s">
        <v>2980</v>
      </c>
      <c r="F227" s="53" t="s">
        <v>2981</v>
      </c>
      <c r="G227" s="53" t="s">
        <v>2982</v>
      </c>
      <c r="I227" s="53" t="s">
        <v>743</v>
      </c>
    </row>
    <row r="228" customFormat="false" ht="11.25" hidden="false" customHeight="true" outlineLevel="0" collapsed="false">
      <c r="A228" s="53" t="s">
        <v>2190</v>
      </c>
      <c r="B228" s="53" t="s">
        <v>14</v>
      </c>
      <c r="C228" s="53" t="s">
        <v>2983</v>
      </c>
      <c r="D228" s="53" t="s">
        <v>2984</v>
      </c>
      <c r="E228" s="53" t="s">
        <v>2985</v>
      </c>
      <c r="F228" s="53" t="s">
        <v>2222</v>
      </c>
      <c r="G228" s="53" t="s">
        <v>2986</v>
      </c>
      <c r="H228" s="53" t="s">
        <v>2498</v>
      </c>
      <c r="I228" s="53" t="s">
        <v>743</v>
      </c>
    </row>
    <row r="229" customFormat="false" ht="11.25" hidden="false" customHeight="true" outlineLevel="0" collapsed="false">
      <c r="A229" s="53" t="s">
        <v>2190</v>
      </c>
      <c r="B229" s="53" t="s">
        <v>14</v>
      </c>
      <c r="C229" s="53" t="s">
        <v>2987</v>
      </c>
      <c r="D229" s="53" t="s">
        <v>2988</v>
      </c>
      <c r="E229" s="53" t="s">
        <v>2989</v>
      </c>
      <c r="F229" s="53" t="s">
        <v>2249</v>
      </c>
      <c r="I229" s="53" t="s">
        <v>743</v>
      </c>
    </row>
    <row r="230" customFormat="false" ht="11.25" hidden="false" customHeight="true" outlineLevel="0" collapsed="false">
      <c r="A230" s="53" t="s">
        <v>2190</v>
      </c>
      <c r="B230" s="53" t="s">
        <v>14</v>
      </c>
      <c r="C230" s="53" t="s">
        <v>2990</v>
      </c>
      <c r="D230" s="53" t="s">
        <v>2991</v>
      </c>
      <c r="E230" s="53" t="s">
        <v>2992</v>
      </c>
      <c r="F230" s="53" t="s">
        <v>2427</v>
      </c>
      <c r="I230" s="53" t="s">
        <v>743</v>
      </c>
    </row>
    <row r="231" customFormat="false" ht="11.25" hidden="false" customHeight="true" outlineLevel="0" collapsed="false">
      <c r="A231" s="53" t="s">
        <v>2190</v>
      </c>
      <c r="B231" s="53" t="s">
        <v>14</v>
      </c>
      <c r="C231" s="53" t="s">
        <v>2993</v>
      </c>
      <c r="D231" s="53" t="s">
        <v>2994</v>
      </c>
      <c r="E231" s="53" t="s">
        <v>2995</v>
      </c>
      <c r="F231" s="53" t="s">
        <v>48</v>
      </c>
      <c r="H231" s="53" t="s">
        <v>2498</v>
      </c>
      <c r="I231" s="53" t="s">
        <v>743</v>
      </c>
    </row>
    <row r="232" customFormat="false" ht="11.25" hidden="false" customHeight="true" outlineLevel="0" collapsed="false">
      <c r="A232" s="53" t="s">
        <v>2190</v>
      </c>
      <c r="B232" s="53" t="s">
        <v>14</v>
      </c>
      <c r="C232" s="53" t="s">
        <v>2996</v>
      </c>
      <c r="D232" s="53" t="s">
        <v>2997</v>
      </c>
      <c r="E232" s="53" t="s">
        <v>2998</v>
      </c>
      <c r="F232" s="53" t="s">
        <v>48</v>
      </c>
      <c r="I232" s="53" t="s">
        <v>743</v>
      </c>
    </row>
    <row r="233" customFormat="false" ht="11.25" hidden="false" customHeight="true" outlineLevel="0" collapsed="false">
      <c r="A233" s="53" t="s">
        <v>2190</v>
      </c>
      <c r="B233" s="53" t="s">
        <v>14</v>
      </c>
      <c r="C233" s="53" t="s">
        <v>2999</v>
      </c>
      <c r="D233" s="53" t="s">
        <v>3000</v>
      </c>
      <c r="E233" s="53" t="s">
        <v>3001</v>
      </c>
      <c r="F233" s="53" t="s">
        <v>2234</v>
      </c>
      <c r="I233" s="53" t="s">
        <v>743</v>
      </c>
    </row>
    <row r="234" customFormat="false" ht="11.25" hidden="false" customHeight="true" outlineLevel="0" collapsed="false">
      <c r="A234" s="53" t="s">
        <v>2190</v>
      </c>
      <c r="B234" s="53" t="s">
        <v>14</v>
      </c>
      <c r="C234" s="53" t="s">
        <v>3002</v>
      </c>
      <c r="D234" s="53" t="s">
        <v>3000</v>
      </c>
      <c r="E234" s="53" t="s">
        <v>3001</v>
      </c>
      <c r="F234" s="53" t="s">
        <v>2409</v>
      </c>
      <c r="G234" s="53" t="s">
        <v>3003</v>
      </c>
      <c r="I234" s="53" t="s">
        <v>743</v>
      </c>
    </row>
    <row r="235" customFormat="false" ht="11.25" hidden="false" customHeight="true" outlineLevel="0" collapsed="false">
      <c r="A235" s="53" t="s">
        <v>2190</v>
      </c>
      <c r="B235" s="53" t="s">
        <v>14</v>
      </c>
      <c r="C235" s="53" t="s">
        <v>3004</v>
      </c>
      <c r="D235" s="53" t="s">
        <v>3005</v>
      </c>
      <c r="E235" s="53" t="s">
        <v>3006</v>
      </c>
      <c r="F235" s="53" t="s">
        <v>2748</v>
      </c>
      <c r="G235" s="53" t="s">
        <v>3007</v>
      </c>
      <c r="I235" s="53" t="s">
        <v>743</v>
      </c>
    </row>
    <row r="236" customFormat="false" ht="11.25" hidden="false" customHeight="true" outlineLevel="0" collapsed="false">
      <c r="A236" s="53" t="s">
        <v>2190</v>
      </c>
      <c r="B236" s="53" t="s">
        <v>14</v>
      </c>
      <c r="C236" s="53" t="s">
        <v>3008</v>
      </c>
      <c r="D236" s="53" t="s">
        <v>3009</v>
      </c>
      <c r="E236" s="53" t="s">
        <v>3010</v>
      </c>
      <c r="F236" s="53" t="s">
        <v>2222</v>
      </c>
      <c r="I236" s="53" t="s">
        <v>743</v>
      </c>
    </row>
    <row r="237" customFormat="false" ht="11.25" hidden="false" customHeight="true" outlineLevel="0" collapsed="false">
      <c r="A237" s="53" t="s">
        <v>2190</v>
      </c>
      <c r="B237" s="53" t="s">
        <v>14</v>
      </c>
      <c r="C237" s="53" t="s">
        <v>3011</v>
      </c>
      <c r="D237" s="53" t="s">
        <v>3012</v>
      </c>
      <c r="E237" s="53" t="s">
        <v>3013</v>
      </c>
      <c r="F237" s="53" t="s">
        <v>2254</v>
      </c>
      <c r="I237" s="53" t="s">
        <v>743</v>
      </c>
    </row>
    <row r="238" customFormat="false" ht="11.25" hidden="false" customHeight="true" outlineLevel="0" collapsed="false">
      <c r="A238" s="53" t="s">
        <v>2190</v>
      </c>
      <c r="B238" s="53" t="s">
        <v>14</v>
      </c>
      <c r="C238" s="53" t="s">
        <v>3014</v>
      </c>
      <c r="D238" s="53" t="s">
        <v>3015</v>
      </c>
      <c r="E238" s="53" t="s">
        <v>3016</v>
      </c>
      <c r="F238" s="53" t="s">
        <v>2222</v>
      </c>
      <c r="I238" s="53" t="s">
        <v>743</v>
      </c>
    </row>
    <row r="239" customFormat="false" ht="11.25" hidden="false" customHeight="true" outlineLevel="0" collapsed="false">
      <c r="A239" s="53" t="s">
        <v>2190</v>
      </c>
      <c r="B239" s="53" t="s">
        <v>14</v>
      </c>
      <c r="C239" s="53" t="s">
        <v>3017</v>
      </c>
      <c r="D239" s="53" t="s">
        <v>3018</v>
      </c>
      <c r="E239" s="53" t="s">
        <v>2688</v>
      </c>
      <c r="F239" s="53" t="s">
        <v>2226</v>
      </c>
      <c r="I239" s="53" t="s">
        <v>743</v>
      </c>
    </row>
    <row r="240" customFormat="false" ht="11.25" hidden="false" customHeight="true" outlineLevel="0" collapsed="false">
      <c r="A240" s="53" t="s">
        <v>2190</v>
      </c>
      <c r="B240" s="53" t="s">
        <v>14</v>
      </c>
      <c r="C240" s="53" t="s">
        <v>3019</v>
      </c>
      <c r="D240" s="53" t="s">
        <v>3018</v>
      </c>
      <c r="E240" s="53" t="s">
        <v>2688</v>
      </c>
      <c r="F240" s="53" t="s">
        <v>3020</v>
      </c>
      <c r="I240" s="53" t="s">
        <v>743</v>
      </c>
    </row>
    <row r="241" customFormat="false" ht="11.25" hidden="false" customHeight="true" outlineLevel="0" collapsed="false">
      <c r="A241" s="53" t="s">
        <v>2190</v>
      </c>
      <c r="B241" s="53" t="s">
        <v>14</v>
      </c>
      <c r="C241" s="53" t="s">
        <v>3021</v>
      </c>
      <c r="D241" s="53" t="s">
        <v>3022</v>
      </c>
      <c r="E241" s="53" t="s">
        <v>3023</v>
      </c>
      <c r="F241" s="53" t="s">
        <v>2226</v>
      </c>
      <c r="G241" s="53" t="s">
        <v>3024</v>
      </c>
      <c r="I241" s="53" t="s">
        <v>743</v>
      </c>
    </row>
    <row r="242" customFormat="false" ht="11.25" hidden="false" customHeight="true" outlineLevel="0" collapsed="false">
      <c r="A242" s="53" t="s">
        <v>2190</v>
      </c>
      <c r="B242" s="53" t="s">
        <v>14</v>
      </c>
      <c r="C242" s="53" t="s">
        <v>3025</v>
      </c>
      <c r="D242" s="53" t="s">
        <v>3026</v>
      </c>
      <c r="E242" s="53" t="s">
        <v>3027</v>
      </c>
      <c r="F242" s="53" t="s">
        <v>3028</v>
      </c>
      <c r="I242" s="53" t="s">
        <v>743</v>
      </c>
    </row>
    <row r="243" customFormat="false" ht="11.25" hidden="false" customHeight="true" outlineLevel="0" collapsed="false">
      <c r="A243" s="53" t="s">
        <v>2190</v>
      </c>
      <c r="B243" s="53" t="s">
        <v>14</v>
      </c>
      <c r="C243" s="53" t="s">
        <v>3029</v>
      </c>
      <c r="D243" s="53" t="s">
        <v>3030</v>
      </c>
      <c r="E243" s="53" t="s">
        <v>3031</v>
      </c>
      <c r="F243" s="53" t="s">
        <v>2258</v>
      </c>
      <c r="I243" s="53" t="s">
        <v>743</v>
      </c>
    </row>
    <row r="244" customFormat="false" ht="11.25" hidden="false" customHeight="true" outlineLevel="0" collapsed="false">
      <c r="A244" s="53" t="s">
        <v>2190</v>
      </c>
      <c r="B244" s="53" t="s">
        <v>14</v>
      </c>
      <c r="C244" s="53" t="s">
        <v>3032</v>
      </c>
      <c r="D244" s="53" t="s">
        <v>3033</v>
      </c>
      <c r="E244" s="53" t="s">
        <v>2773</v>
      </c>
      <c r="F244" s="53" t="s">
        <v>3034</v>
      </c>
      <c r="H244" s="53" t="s">
        <v>2775</v>
      </c>
      <c r="I244" s="53" t="s">
        <v>743</v>
      </c>
    </row>
    <row r="245" customFormat="false" ht="11.25" hidden="false" customHeight="true" outlineLevel="0" collapsed="false">
      <c r="A245" s="53" t="s">
        <v>2190</v>
      </c>
      <c r="B245" s="53" t="s">
        <v>14</v>
      </c>
      <c r="C245" s="53" t="s">
        <v>3035</v>
      </c>
      <c r="D245" s="53" t="s">
        <v>3033</v>
      </c>
      <c r="E245" s="53" t="s">
        <v>2773</v>
      </c>
      <c r="F245" s="53" t="s">
        <v>3034</v>
      </c>
      <c r="G245" s="53" t="s">
        <v>2398</v>
      </c>
      <c r="H245" s="53" t="s">
        <v>2620</v>
      </c>
      <c r="I245" s="53" t="s">
        <v>743</v>
      </c>
    </row>
    <row r="246" customFormat="false" ht="11.25" hidden="false" customHeight="true" outlineLevel="0" collapsed="false">
      <c r="A246" s="53" t="s">
        <v>2190</v>
      </c>
      <c r="B246" s="53" t="s">
        <v>14</v>
      </c>
      <c r="C246" s="53" t="s">
        <v>3036</v>
      </c>
      <c r="D246" s="53" t="s">
        <v>3037</v>
      </c>
      <c r="E246" s="53" t="s">
        <v>3038</v>
      </c>
      <c r="F246" s="53" t="s">
        <v>2254</v>
      </c>
      <c r="H246" s="53" t="s">
        <v>2494</v>
      </c>
      <c r="I246" s="53" t="s">
        <v>743</v>
      </c>
    </row>
    <row r="247" customFormat="false" ht="11.25" hidden="false" customHeight="true" outlineLevel="0" collapsed="false">
      <c r="A247" s="53" t="s">
        <v>2190</v>
      </c>
      <c r="B247" s="53" t="s">
        <v>14</v>
      </c>
      <c r="C247" s="53" t="s">
        <v>3039</v>
      </c>
      <c r="D247" s="53" t="s">
        <v>3040</v>
      </c>
      <c r="E247" s="53" t="s">
        <v>3041</v>
      </c>
      <c r="F247" s="53" t="s">
        <v>3042</v>
      </c>
      <c r="H247" s="53" t="s">
        <v>3043</v>
      </c>
      <c r="I247" s="53" t="s">
        <v>743</v>
      </c>
    </row>
    <row r="248" customFormat="false" ht="11.25" hidden="false" customHeight="true" outlineLevel="0" collapsed="false">
      <c r="A248" s="53" t="s">
        <v>2190</v>
      </c>
      <c r="B248" s="53" t="s">
        <v>14</v>
      </c>
      <c r="C248" s="53" t="s">
        <v>3044</v>
      </c>
      <c r="D248" s="53" t="s">
        <v>3045</v>
      </c>
      <c r="E248" s="53" t="s">
        <v>2292</v>
      </c>
      <c r="F248" s="53" t="s">
        <v>3046</v>
      </c>
      <c r="I248" s="53" t="s">
        <v>743</v>
      </c>
    </row>
    <row r="249" customFormat="false" ht="11.25" hidden="false" customHeight="true" outlineLevel="0" collapsed="false">
      <c r="A249" s="53" t="s">
        <v>2190</v>
      </c>
      <c r="B249" s="53" t="s">
        <v>14</v>
      </c>
      <c r="C249" s="53" t="s">
        <v>3047</v>
      </c>
      <c r="D249" s="53" t="s">
        <v>3048</v>
      </c>
      <c r="E249" s="53" t="s">
        <v>3049</v>
      </c>
      <c r="F249" s="53" t="s">
        <v>2446</v>
      </c>
      <c r="H249" s="53" t="s">
        <v>2620</v>
      </c>
      <c r="I249" s="53" t="s">
        <v>743</v>
      </c>
    </row>
    <row r="250" customFormat="false" ht="11.25" hidden="false" customHeight="true" outlineLevel="0" collapsed="false">
      <c r="A250" s="53" t="s">
        <v>2190</v>
      </c>
      <c r="B250" s="53" t="s">
        <v>14</v>
      </c>
      <c r="C250" s="53" t="s">
        <v>3050</v>
      </c>
      <c r="D250" s="53" t="s">
        <v>3051</v>
      </c>
      <c r="E250" s="53" t="s">
        <v>3052</v>
      </c>
      <c r="F250" s="53" t="s">
        <v>2258</v>
      </c>
      <c r="H250" s="53" t="s">
        <v>2616</v>
      </c>
      <c r="I250" s="53" t="s">
        <v>743</v>
      </c>
    </row>
    <row r="251" customFormat="false" ht="11.25" hidden="false" customHeight="true" outlineLevel="0" collapsed="false">
      <c r="A251" s="53" t="s">
        <v>2190</v>
      </c>
      <c r="B251" s="53" t="s">
        <v>14</v>
      </c>
      <c r="C251" s="53" t="s">
        <v>3053</v>
      </c>
      <c r="D251" s="53" t="s">
        <v>3054</v>
      </c>
      <c r="E251" s="53" t="s">
        <v>3055</v>
      </c>
      <c r="F251" s="53" t="s">
        <v>3056</v>
      </c>
      <c r="I251" s="53" t="s">
        <v>743</v>
      </c>
    </row>
    <row r="252" customFormat="false" ht="11.25" hidden="false" customHeight="true" outlineLevel="0" collapsed="false">
      <c r="A252" s="53" t="s">
        <v>2190</v>
      </c>
      <c r="B252" s="53" t="s">
        <v>14</v>
      </c>
      <c r="C252" s="53" t="s">
        <v>3057</v>
      </c>
      <c r="D252" s="53" t="s">
        <v>3058</v>
      </c>
      <c r="E252" s="53" t="s">
        <v>3055</v>
      </c>
      <c r="F252" s="53" t="s">
        <v>3059</v>
      </c>
      <c r="I252" s="53" t="s">
        <v>743</v>
      </c>
    </row>
    <row r="253" customFormat="false" ht="11.25" hidden="false" customHeight="true" outlineLevel="0" collapsed="false">
      <c r="A253" s="53" t="s">
        <v>2190</v>
      </c>
      <c r="B253" s="53" t="s">
        <v>14</v>
      </c>
      <c r="C253" s="53" t="s">
        <v>3060</v>
      </c>
      <c r="D253" s="53" t="s">
        <v>3061</v>
      </c>
      <c r="E253" s="53" t="s">
        <v>3062</v>
      </c>
      <c r="F253" s="53" t="s">
        <v>2258</v>
      </c>
      <c r="H253" s="53" t="s">
        <v>2294</v>
      </c>
      <c r="I253" s="53" t="s">
        <v>743</v>
      </c>
    </row>
    <row r="254" customFormat="false" ht="11.25" hidden="false" customHeight="true" outlineLevel="0" collapsed="false">
      <c r="A254" s="53" t="s">
        <v>2190</v>
      </c>
      <c r="B254" s="53" t="s">
        <v>14</v>
      </c>
      <c r="C254" s="53" t="s">
        <v>3063</v>
      </c>
      <c r="D254" s="53" t="s">
        <v>3064</v>
      </c>
      <c r="E254" s="53" t="s">
        <v>3065</v>
      </c>
      <c r="F254" s="53" t="s">
        <v>2409</v>
      </c>
      <c r="H254" s="53" t="s">
        <v>3066</v>
      </c>
      <c r="I254" s="53" t="s">
        <v>743</v>
      </c>
    </row>
    <row r="255" customFormat="false" ht="11.25" hidden="false" customHeight="true" outlineLevel="0" collapsed="false">
      <c r="A255" s="53" t="s">
        <v>2190</v>
      </c>
      <c r="B255" s="53" t="s">
        <v>14</v>
      </c>
      <c r="C255" s="53" t="s">
        <v>3067</v>
      </c>
      <c r="D255" s="53" t="s">
        <v>3068</v>
      </c>
      <c r="E255" s="53" t="s">
        <v>3069</v>
      </c>
      <c r="F255" s="53" t="s">
        <v>2427</v>
      </c>
      <c r="H255" s="53" t="s">
        <v>3070</v>
      </c>
      <c r="I255" s="53" t="s">
        <v>743</v>
      </c>
    </row>
    <row r="256" customFormat="false" ht="11.25" hidden="false" customHeight="true" outlineLevel="0" collapsed="false">
      <c r="A256" s="53" t="s">
        <v>2190</v>
      </c>
      <c r="B256" s="53" t="s">
        <v>14</v>
      </c>
      <c r="C256" s="53" t="s">
        <v>3071</v>
      </c>
      <c r="D256" s="53" t="s">
        <v>3072</v>
      </c>
      <c r="E256" s="53" t="s">
        <v>3073</v>
      </c>
      <c r="F256" s="53" t="s">
        <v>2254</v>
      </c>
      <c r="I256" s="53" t="s">
        <v>743</v>
      </c>
    </row>
    <row r="257" customFormat="false" ht="11.25" hidden="false" customHeight="true" outlineLevel="0" collapsed="false">
      <c r="A257" s="53" t="s">
        <v>2190</v>
      </c>
      <c r="B257" s="53" t="s">
        <v>14</v>
      </c>
      <c r="C257" s="53" t="s">
        <v>3074</v>
      </c>
      <c r="D257" s="53" t="s">
        <v>3075</v>
      </c>
      <c r="E257" s="53" t="s">
        <v>3076</v>
      </c>
      <c r="F257" s="53" t="s">
        <v>2258</v>
      </c>
      <c r="I257" s="53" t="s">
        <v>743</v>
      </c>
    </row>
    <row r="258" customFormat="false" ht="11.25" hidden="false" customHeight="true" outlineLevel="0" collapsed="false">
      <c r="A258" s="53" t="s">
        <v>2190</v>
      </c>
      <c r="B258" s="53" t="s">
        <v>14</v>
      </c>
      <c r="C258" s="53" t="s">
        <v>3077</v>
      </c>
      <c r="D258" s="53" t="s">
        <v>3078</v>
      </c>
      <c r="E258" s="53" t="s">
        <v>3079</v>
      </c>
      <c r="F258" s="53" t="s">
        <v>2198</v>
      </c>
      <c r="G258" s="53" t="s">
        <v>3080</v>
      </c>
      <c r="I258" s="53" t="s">
        <v>743</v>
      </c>
    </row>
    <row r="259" customFormat="false" ht="11.25" hidden="false" customHeight="true" outlineLevel="0" collapsed="false">
      <c r="A259" s="53" t="s">
        <v>2190</v>
      </c>
      <c r="B259" s="53" t="s">
        <v>14</v>
      </c>
      <c r="C259" s="53" t="s">
        <v>3081</v>
      </c>
      <c r="D259" s="53" t="s">
        <v>3082</v>
      </c>
      <c r="E259" s="53" t="s">
        <v>3027</v>
      </c>
      <c r="F259" s="53" t="s">
        <v>3083</v>
      </c>
      <c r="G259" s="53" t="s">
        <v>3084</v>
      </c>
      <c r="I259" s="53" t="s">
        <v>743</v>
      </c>
    </row>
    <row r="260" customFormat="false" ht="11.25" hidden="false" customHeight="true" outlineLevel="0" collapsed="false">
      <c r="A260" s="53" t="s">
        <v>2190</v>
      </c>
      <c r="B260" s="53" t="s">
        <v>14</v>
      </c>
      <c r="C260" s="53" t="s">
        <v>3085</v>
      </c>
      <c r="D260" s="53" t="s">
        <v>3086</v>
      </c>
      <c r="E260" s="53" t="s">
        <v>3087</v>
      </c>
      <c r="F260" s="53" t="s">
        <v>3088</v>
      </c>
      <c r="H260" s="53" t="s">
        <v>2381</v>
      </c>
      <c r="I260" s="53" t="s">
        <v>743</v>
      </c>
    </row>
    <row r="261" customFormat="false" ht="11.25" hidden="false" customHeight="true" outlineLevel="0" collapsed="false">
      <c r="A261" s="53" t="s">
        <v>2190</v>
      </c>
      <c r="B261" s="53" t="s">
        <v>14</v>
      </c>
      <c r="C261" s="53" t="s">
        <v>3089</v>
      </c>
      <c r="D261" s="53" t="s">
        <v>3090</v>
      </c>
      <c r="E261" s="53" t="s">
        <v>3091</v>
      </c>
      <c r="F261" s="53" t="s">
        <v>3092</v>
      </c>
      <c r="I261" s="53" t="s">
        <v>743</v>
      </c>
    </row>
    <row r="262" customFormat="false" ht="11.25" hidden="false" customHeight="true" outlineLevel="0" collapsed="false">
      <c r="A262" s="53" t="s">
        <v>2190</v>
      </c>
      <c r="B262" s="53" t="s">
        <v>14</v>
      </c>
      <c r="C262" s="53" t="s">
        <v>3093</v>
      </c>
      <c r="D262" s="53" t="s">
        <v>3094</v>
      </c>
      <c r="E262" s="53" t="s">
        <v>3095</v>
      </c>
      <c r="F262" s="53" t="s">
        <v>3096</v>
      </c>
      <c r="H262" s="53" t="s">
        <v>2214</v>
      </c>
      <c r="I262" s="53" t="s">
        <v>743</v>
      </c>
    </row>
    <row r="263" customFormat="false" ht="11.25" hidden="false" customHeight="true" outlineLevel="0" collapsed="false">
      <c r="A263" s="53" t="s">
        <v>2190</v>
      </c>
      <c r="B263" s="53" t="s">
        <v>14</v>
      </c>
      <c r="C263" s="53" t="s">
        <v>3097</v>
      </c>
      <c r="D263" s="53" t="s">
        <v>3098</v>
      </c>
      <c r="E263" s="53" t="s">
        <v>2662</v>
      </c>
      <c r="F263" s="53" t="s">
        <v>2194</v>
      </c>
      <c r="H263" s="53" t="s">
        <v>2704</v>
      </c>
      <c r="I263" s="53" t="s">
        <v>743</v>
      </c>
    </row>
    <row r="264" customFormat="false" ht="11.25" hidden="false" customHeight="true" outlineLevel="0" collapsed="false">
      <c r="A264" s="53" t="s">
        <v>2190</v>
      </c>
      <c r="B264" s="53" t="s">
        <v>14</v>
      </c>
      <c r="C264" s="53" t="s">
        <v>3099</v>
      </c>
      <c r="D264" s="53" t="s">
        <v>3100</v>
      </c>
      <c r="E264" s="53" t="s">
        <v>2662</v>
      </c>
      <c r="F264" s="53" t="s">
        <v>3101</v>
      </c>
      <c r="I264" s="53" t="s">
        <v>743</v>
      </c>
    </row>
    <row r="265" customFormat="false" ht="11.25" hidden="false" customHeight="true" outlineLevel="0" collapsed="false">
      <c r="A265" s="53" t="s">
        <v>2190</v>
      </c>
      <c r="B265" s="53" t="s">
        <v>14</v>
      </c>
      <c r="C265" s="53" t="s">
        <v>3102</v>
      </c>
      <c r="D265" s="53" t="s">
        <v>3103</v>
      </c>
      <c r="E265" s="53" t="s">
        <v>3104</v>
      </c>
      <c r="F265" s="53" t="s">
        <v>2258</v>
      </c>
      <c r="I265" s="53" t="s">
        <v>743</v>
      </c>
    </row>
    <row r="266" customFormat="false" ht="11.25" hidden="false" customHeight="true" outlineLevel="0" collapsed="false">
      <c r="A266" s="53" t="s">
        <v>2190</v>
      </c>
      <c r="B266" s="53" t="s">
        <v>14</v>
      </c>
      <c r="C266" s="53" t="s">
        <v>3105</v>
      </c>
      <c r="D266" s="53" t="s">
        <v>3106</v>
      </c>
      <c r="E266" s="53" t="s">
        <v>3107</v>
      </c>
      <c r="F266" s="53" t="s">
        <v>2208</v>
      </c>
      <c r="H266" s="53" t="s">
        <v>3108</v>
      </c>
      <c r="I266" s="53" t="s">
        <v>743</v>
      </c>
    </row>
    <row r="267" customFormat="false" ht="11.25" hidden="false" customHeight="true" outlineLevel="0" collapsed="false">
      <c r="A267" s="53" t="s">
        <v>2190</v>
      </c>
      <c r="B267" s="53" t="s">
        <v>14</v>
      </c>
      <c r="C267" s="53" t="s">
        <v>3109</v>
      </c>
      <c r="D267" s="53" t="s">
        <v>3110</v>
      </c>
      <c r="E267" s="53" t="s">
        <v>2292</v>
      </c>
      <c r="F267" s="53" t="s">
        <v>3111</v>
      </c>
      <c r="I267" s="53" t="s">
        <v>743</v>
      </c>
    </row>
    <row r="268" customFormat="false" ht="11.25" hidden="false" customHeight="true" outlineLevel="0" collapsed="false">
      <c r="A268" s="53" t="s">
        <v>2190</v>
      </c>
      <c r="B268" s="53" t="s">
        <v>14</v>
      </c>
      <c r="C268" s="53" t="s">
        <v>3112</v>
      </c>
      <c r="D268" s="53" t="s">
        <v>3113</v>
      </c>
      <c r="E268" s="53" t="s">
        <v>2292</v>
      </c>
      <c r="F268" s="53" t="s">
        <v>3114</v>
      </c>
      <c r="H268" s="53" t="s">
        <v>2664</v>
      </c>
      <c r="I268" s="53" t="s">
        <v>743</v>
      </c>
    </row>
    <row r="269" customFormat="false" ht="11.25" hidden="false" customHeight="true" outlineLevel="0" collapsed="false">
      <c r="A269" s="53" t="s">
        <v>2190</v>
      </c>
      <c r="B269" s="53" t="s">
        <v>14</v>
      </c>
      <c r="C269" s="53" t="s">
        <v>3115</v>
      </c>
      <c r="D269" s="53" t="s">
        <v>3116</v>
      </c>
      <c r="E269" s="53" t="s">
        <v>2292</v>
      </c>
      <c r="F269" s="53" t="s">
        <v>3117</v>
      </c>
      <c r="I269" s="53" t="s">
        <v>743</v>
      </c>
    </row>
    <row r="270" customFormat="false" ht="11.25" hidden="false" customHeight="true" outlineLevel="0" collapsed="false">
      <c r="A270" s="53" t="s">
        <v>2190</v>
      </c>
      <c r="B270" s="53" t="s">
        <v>14</v>
      </c>
      <c r="C270" s="53" t="s">
        <v>3118</v>
      </c>
      <c r="D270" s="53" t="s">
        <v>3119</v>
      </c>
      <c r="E270" s="53" t="s">
        <v>2292</v>
      </c>
      <c r="F270" s="53" t="s">
        <v>3120</v>
      </c>
      <c r="H270" s="53" t="s">
        <v>2345</v>
      </c>
      <c r="I270" s="53" t="s">
        <v>743</v>
      </c>
    </row>
    <row r="271" customFormat="false" ht="11.25" hidden="false" customHeight="true" outlineLevel="0" collapsed="false">
      <c r="A271" s="53" t="s">
        <v>2190</v>
      </c>
      <c r="B271" s="53" t="s">
        <v>14</v>
      </c>
      <c r="C271" s="53" t="s">
        <v>3121</v>
      </c>
      <c r="D271" s="53" t="s">
        <v>3122</v>
      </c>
      <c r="E271" s="53" t="s">
        <v>2292</v>
      </c>
      <c r="F271" s="53" t="s">
        <v>3123</v>
      </c>
      <c r="H271" s="53" t="s">
        <v>2312</v>
      </c>
      <c r="I271" s="53" t="s">
        <v>743</v>
      </c>
    </row>
    <row r="272" customFormat="false" ht="11.25" hidden="false" customHeight="true" outlineLevel="0" collapsed="false">
      <c r="A272" s="53" t="s">
        <v>2190</v>
      </c>
      <c r="B272" s="53" t="s">
        <v>14</v>
      </c>
      <c r="C272" s="53" t="s">
        <v>3124</v>
      </c>
      <c r="D272" s="53" t="s">
        <v>3125</v>
      </c>
      <c r="E272" s="53" t="s">
        <v>2292</v>
      </c>
      <c r="F272" s="53" t="s">
        <v>3126</v>
      </c>
      <c r="H272" s="53" t="s">
        <v>2345</v>
      </c>
      <c r="I272" s="53" t="s">
        <v>743</v>
      </c>
    </row>
    <row r="273" customFormat="false" ht="11.25" hidden="false" customHeight="true" outlineLevel="0" collapsed="false">
      <c r="A273" s="53" t="s">
        <v>2190</v>
      </c>
      <c r="B273" s="53" t="s">
        <v>14</v>
      </c>
      <c r="C273" s="53" t="s">
        <v>3127</v>
      </c>
      <c r="D273" s="53" t="s">
        <v>3128</v>
      </c>
      <c r="E273" s="53" t="s">
        <v>3129</v>
      </c>
      <c r="F273" s="53" t="s">
        <v>3130</v>
      </c>
      <c r="H273" s="53" t="s">
        <v>2525</v>
      </c>
      <c r="I273" s="53" t="s">
        <v>743</v>
      </c>
    </row>
    <row r="274" customFormat="false" ht="11.25" hidden="false" customHeight="true" outlineLevel="0" collapsed="false">
      <c r="A274" s="53" t="s">
        <v>2190</v>
      </c>
      <c r="B274" s="53" t="s">
        <v>14</v>
      </c>
      <c r="C274" s="53" t="s">
        <v>2191</v>
      </c>
      <c r="D274" s="53" t="s">
        <v>2192</v>
      </c>
      <c r="E274" s="53" t="s">
        <v>2193</v>
      </c>
      <c r="F274" s="53" t="s">
        <v>2194</v>
      </c>
      <c r="I274" s="53" t="s">
        <v>830</v>
      </c>
    </row>
    <row r="275" customFormat="false" ht="11.25" hidden="false" customHeight="true" outlineLevel="0" collapsed="false">
      <c r="A275" s="53" t="s">
        <v>2190</v>
      </c>
      <c r="B275" s="53" t="s">
        <v>14</v>
      </c>
      <c r="C275" s="53" t="s">
        <v>2195</v>
      </c>
      <c r="D275" s="53" t="s">
        <v>2196</v>
      </c>
      <c r="E275" s="53" t="s">
        <v>2197</v>
      </c>
      <c r="F275" s="53" t="s">
        <v>2198</v>
      </c>
      <c r="G275" s="53" t="s">
        <v>2199</v>
      </c>
      <c r="I275" s="53" t="s">
        <v>830</v>
      </c>
    </row>
    <row r="276" customFormat="false" ht="11.25" hidden="false" customHeight="true" outlineLevel="0" collapsed="false">
      <c r="A276" s="53" t="s">
        <v>2190</v>
      </c>
      <c r="B276" s="53" t="s">
        <v>14</v>
      </c>
      <c r="C276" s="53" t="s">
        <v>2200</v>
      </c>
      <c r="D276" s="53" t="s">
        <v>2201</v>
      </c>
      <c r="E276" s="53" t="s">
        <v>2202</v>
      </c>
      <c r="F276" s="53" t="s">
        <v>2203</v>
      </c>
      <c r="G276" s="53" t="s">
        <v>2204</v>
      </c>
      <c r="I276" s="53" t="s">
        <v>830</v>
      </c>
    </row>
    <row r="277" customFormat="false" ht="11.25" hidden="false" customHeight="true" outlineLevel="0" collapsed="false">
      <c r="A277" s="53" t="s">
        <v>2190</v>
      </c>
      <c r="B277" s="53" t="s">
        <v>14</v>
      </c>
      <c r="C277" s="53" t="s">
        <v>2209</v>
      </c>
      <c r="D277" s="53" t="s">
        <v>2210</v>
      </c>
      <c r="E277" s="53" t="s">
        <v>2211</v>
      </c>
      <c r="F277" s="53" t="s">
        <v>2212</v>
      </c>
      <c r="G277" s="53" t="s">
        <v>2213</v>
      </c>
      <c r="H277" s="53" t="s">
        <v>2214</v>
      </c>
      <c r="I277" s="53" t="s">
        <v>830</v>
      </c>
    </row>
    <row r="278" customFormat="false" ht="11.25" hidden="false" customHeight="true" outlineLevel="0" collapsed="false">
      <c r="A278" s="53" t="s">
        <v>2190</v>
      </c>
      <c r="B278" s="53" t="s">
        <v>14</v>
      </c>
      <c r="C278" s="53" t="s">
        <v>2215</v>
      </c>
      <c r="D278" s="53" t="s">
        <v>2216</v>
      </c>
      <c r="E278" s="53" t="s">
        <v>2217</v>
      </c>
      <c r="F278" s="53" t="s">
        <v>2218</v>
      </c>
      <c r="I278" s="53" t="s">
        <v>830</v>
      </c>
    </row>
    <row r="279" customFormat="false" ht="11.25" hidden="false" customHeight="true" outlineLevel="0" collapsed="false">
      <c r="A279" s="53" t="s">
        <v>2190</v>
      </c>
      <c r="B279" s="53" t="s">
        <v>14</v>
      </c>
      <c r="C279" s="53" t="s">
        <v>2223</v>
      </c>
      <c r="D279" s="53" t="s">
        <v>2224</v>
      </c>
      <c r="E279" s="53" t="s">
        <v>2225</v>
      </c>
      <c r="F279" s="53" t="s">
        <v>2226</v>
      </c>
      <c r="I279" s="53" t="s">
        <v>830</v>
      </c>
    </row>
    <row r="280" customFormat="false" ht="11.25" hidden="false" customHeight="true" outlineLevel="0" collapsed="false">
      <c r="A280" s="53" t="s">
        <v>2190</v>
      </c>
      <c r="B280" s="53" t="s">
        <v>14</v>
      </c>
      <c r="C280" s="53" t="s">
        <v>2227</v>
      </c>
      <c r="D280" s="53" t="s">
        <v>2228</v>
      </c>
      <c r="E280" s="53" t="s">
        <v>2229</v>
      </c>
      <c r="F280" s="53" t="s">
        <v>2230</v>
      </c>
      <c r="I280" s="53" t="s">
        <v>830</v>
      </c>
    </row>
    <row r="281" customFormat="false" ht="11.25" hidden="false" customHeight="true" outlineLevel="0" collapsed="false">
      <c r="A281" s="53" t="s">
        <v>2190</v>
      </c>
      <c r="B281" s="53" t="s">
        <v>14</v>
      </c>
      <c r="C281" s="53" t="s">
        <v>2231</v>
      </c>
      <c r="D281" s="53" t="s">
        <v>2232</v>
      </c>
      <c r="E281" s="53" t="s">
        <v>2233</v>
      </c>
      <c r="F281" s="53" t="s">
        <v>2234</v>
      </c>
      <c r="I281" s="53" t="s">
        <v>830</v>
      </c>
    </row>
    <row r="282" customFormat="false" ht="11.25" hidden="false" customHeight="true" outlineLevel="0" collapsed="false">
      <c r="A282" s="53" t="s">
        <v>2190</v>
      </c>
      <c r="B282" s="53" t="s">
        <v>14</v>
      </c>
      <c r="C282" s="53" t="s">
        <v>2239</v>
      </c>
      <c r="D282" s="53" t="s">
        <v>2240</v>
      </c>
      <c r="E282" s="53" t="s">
        <v>2241</v>
      </c>
      <c r="F282" s="53" t="s">
        <v>2242</v>
      </c>
      <c r="I282" s="53" t="s">
        <v>830</v>
      </c>
    </row>
    <row r="283" customFormat="false" ht="11.25" hidden="false" customHeight="true" outlineLevel="0" collapsed="false">
      <c r="A283" s="53" t="s">
        <v>2190</v>
      </c>
      <c r="B283" s="53" t="s">
        <v>14</v>
      </c>
      <c r="C283" s="53" t="s">
        <v>2243</v>
      </c>
      <c r="D283" s="53" t="s">
        <v>2244</v>
      </c>
      <c r="E283" s="53" t="s">
        <v>2245</v>
      </c>
      <c r="F283" s="53" t="s">
        <v>2208</v>
      </c>
      <c r="I283" s="53" t="s">
        <v>830</v>
      </c>
    </row>
    <row r="284" customFormat="false" ht="11.25" hidden="false" customHeight="true" outlineLevel="0" collapsed="false">
      <c r="A284" s="53" t="s">
        <v>2190</v>
      </c>
      <c r="B284" s="53" t="s">
        <v>14</v>
      </c>
      <c r="C284" s="53" t="s">
        <v>2251</v>
      </c>
      <c r="D284" s="53" t="s">
        <v>2252</v>
      </c>
      <c r="E284" s="53" t="s">
        <v>2253</v>
      </c>
      <c r="F284" s="53" t="s">
        <v>2254</v>
      </c>
      <c r="I284" s="53" t="s">
        <v>830</v>
      </c>
    </row>
    <row r="285" customFormat="false" ht="11.25" hidden="false" customHeight="true" outlineLevel="0" collapsed="false">
      <c r="A285" s="53" t="s">
        <v>2190</v>
      </c>
      <c r="B285" s="53" t="s">
        <v>14</v>
      </c>
      <c r="C285" s="53" t="s">
        <v>2255</v>
      </c>
      <c r="D285" s="53" t="s">
        <v>2256</v>
      </c>
      <c r="E285" s="53" t="s">
        <v>2257</v>
      </c>
      <c r="F285" s="53" t="s">
        <v>2258</v>
      </c>
      <c r="I285" s="53" t="s">
        <v>830</v>
      </c>
    </row>
    <row r="286" customFormat="false" ht="11.25" hidden="false" customHeight="true" outlineLevel="0" collapsed="false">
      <c r="A286" s="53" t="s">
        <v>2190</v>
      </c>
      <c r="B286" s="53" t="s">
        <v>14</v>
      </c>
      <c r="C286" s="53" t="s">
        <v>2259</v>
      </c>
      <c r="D286" s="53" t="s">
        <v>2260</v>
      </c>
      <c r="E286" s="53" t="s">
        <v>2261</v>
      </c>
      <c r="F286" s="53" t="s">
        <v>2262</v>
      </c>
      <c r="I286" s="53" t="s">
        <v>830</v>
      </c>
    </row>
    <row r="287" customFormat="false" ht="11.25" hidden="false" customHeight="true" outlineLevel="0" collapsed="false">
      <c r="A287" s="53" t="s">
        <v>2190</v>
      </c>
      <c r="B287" s="53" t="s">
        <v>14</v>
      </c>
      <c r="C287" s="53" t="s">
        <v>2266</v>
      </c>
      <c r="D287" s="53" t="s">
        <v>2267</v>
      </c>
      <c r="E287" s="53" t="s">
        <v>2268</v>
      </c>
      <c r="F287" s="53" t="s">
        <v>2234</v>
      </c>
      <c r="G287" s="53" t="s">
        <v>2269</v>
      </c>
      <c r="I287" s="53" t="s">
        <v>830</v>
      </c>
    </row>
    <row r="288" customFormat="false" ht="11.25" hidden="false" customHeight="true" outlineLevel="0" collapsed="false">
      <c r="A288" s="53" t="s">
        <v>2190</v>
      </c>
      <c r="B288" s="53" t="s">
        <v>14</v>
      </c>
      <c r="C288" s="53" t="s">
        <v>2270</v>
      </c>
      <c r="D288" s="53" t="s">
        <v>2271</v>
      </c>
      <c r="E288" s="53" t="s">
        <v>2272</v>
      </c>
      <c r="F288" s="53" t="s">
        <v>2226</v>
      </c>
      <c r="I288" s="53" t="s">
        <v>830</v>
      </c>
    </row>
    <row r="289" customFormat="false" ht="11.25" hidden="false" customHeight="true" outlineLevel="0" collapsed="false">
      <c r="A289" s="53" t="s">
        <v>2190</v>
      </c>
      <c r="B289" s="53" t="s">
        <v>14</v>
      </c>
      <c r="C289" s="53" t="s">
        <v>2273</v>
      </c>
      <c r="D289" s="53" t="s">
        <v>2274</v>
      </c>
      <c r="E289" s="53" t="s">
        <v>2275</v>
      </c>
      <c r="F289" s="53" t="s">
        <v>2226</v>
      </c>
      <c r="I289" s="53" t="s">
        <v>830</v>
      </c>
    </row>
    <row r="290" customFormat="false" ht="11.25" hidden="false" customHeight="true" outlineLevel="0" collapsed="false">
      <c r="A290" s="53" t="s">
        <v>2190</v>
      </c>
      <c r="B290" s="53" t="s">
        <v>14</v>
      </c>
      <c r="C290" s="53" t="s">
        <v>2276</v>
      </c>
      <c r="D290" s="53" t="s">
        <v>2277</v>
      </c>
      <c r="E290" s="53" t="s">
        <v>2278</v>
      </c>
      <c r="F290" s="53" t="s">
        <v>48</v>
      </c>
      <c r="G290" s="53" t="s">
        <v>2279</v>
      </c>
      <c r="I290" s="53" t="s">
        <v>830</v>
      </c>
    </row>
    <row r="291" customFormat="false" ht="11.25" hidden="false" customHeight="true" outlineLevel="0" collapsed="false">
      <c r="A291" s="53" t="s">
        <v>2190</v>
      </c>
      <c r="B291" s="53" t="s">
        <v>14</v>
      </c>
      <c r="C291" s="53" t="s">
        <v>2302</v>
      </c>
      <c r="D291" s="53" t="s">
        <v>2303</v>
      </c>
      <c r="E291" s="53" t="s">
        <v>2304</v>
      </c>
      <c r="F291" s="53" t="s">
        <v>48</v>
      </c>
      <c r="I291" s="53" t="s">
        <v>830</v>
      </c>
    </row>
    <row r="292" customFormat="false" ht="11.25" hidden="false" customHeight="true" outlineLevel="0" collapsed="false">
      <c r="A292" s="53" t="s">
        <v>2190</v>
      </c>
      <c r="B292" s="53" t="s">
        <v>14</v>
      </c>
      <c r="C292" s="53" t="s">
        <v>2305</v>
      </c>
      <c r="D292" s="53" t="s">
        <v>2306</v>
      </c>
      <c r="E292" s="53" t="s">
        <v>2307</v>
      </c>
      <c r="F292" s="53" t="s">
        <v>2258</v>
      </c>
      <c r="H292" s="53" t="s">
        <v>2308</v>
      </c>
      <c r="I292" s="53" t="s">
        <v>830</v>
      </c>
    </row>
    <row r="293" customFormat="false" ht="11.25" hidden="false" customHeight="true" outlineLevel="0" collapsed="false">
      <c r="A293" s="53" t="s">
        <v>2190</v>
      </c>
      <c r="B293" s="53" t="s">
        <v>14</v>
      </c>
      <c r="C293" s="53" t="s">
        <v>2309</v>
      </c>
      <c r="D293" s="53" t="s">
        <v>2310</v>
      </c>
      <c r="E293" s="53" t="s">
        <v>2307</v>
      </c>
      <c r="F293" s="53" t="s">
        <v>2311</v>
      </c>
      <c r="H293" s="53" t="s">
        <v>2312</v>
      </c>
      <c r="I293" s="53" t="s">
        <v>830</v>
      </c>
    </row>
    <row r="294" customFormat="false" ht="11.25" hidden="false" customHeight="true" outlineLevel="0" collapsed="false">
      <c r="A294" s="53" t="s">
        <v>2190</v>
      </c>
      <c r="B294" s="53" t="s">
        <v>14</v>
      </c>
      <c r="C294" s="53" t="s">
        <v>2313</v>
      </c>
      <c r="D294" s="53" t="s">
        <v>2314</v>
      </c>
      <c r="E294" s="53" t="s">
        <v>2307</v>
      </c>
      <c r="F294" s="53" t="s">
        <v>2315</v>
      </c>
      <c r="H294" s="53" t="s">
        <v>2312</v>
      </c>
      <c r="I294" s="53" t="s">
        <v>830</v>
      </c>
    </row>
    <row r="295" customFormat="false" ht="11.25" hidden="false" customHeight="true" outlineLevel="0" collapsed="false">
      <c r="A295" s="53" t="s">
        <v>2190</v>
      </c>
      <c r="B295" s="53" t="s">
        <v>14</v>
      </c>
      <c r="C295" s="53" t="s">
        <v>2316</v>
      </c>
      <c r="D295" s="53" t="s">
        <v>2317</v>
      </c>
      <c r="E295" s="53" t="s">
        <v>2307</v>
      </c>
      <c r="F295" s="53" t="s">
        <v>2318</v>
      </c>
      <c r="H295" s="53" t="s">
        <v>2312</v>
      </c>
      <c r="I295" s="53" t="s">
        <v>830</v>
      </c>
    </row>
    <row r="296" customFormat="false" ht="11.25" hidden="false" customHeight="true" outlineLevel="0" collapsed="false">
      <c r="A296" s="53" t="s">
        <v>2190</v>
      </c>
      <c r="B296" s="53" t="s">
        <v>14</v>
      </c>
      <c r="C296" s="53" t="s">
        <v>2325</v>
      </c>
      <c r="D296" s="53" t="s">
        <v>2326</v>
      </c>
      <c r="E296" s="53" t="s">
        <v>2307</v>
      </c>
      <c r="F296" s="53" t="s">
        <v>2327</v>
      </c>
      <c r="H296" s="53" t="s">
        <v>2312</v>
      </c>
      <c r="I296" s="53" t="s">
        <v>830</v>
      </c>
    </row>
    <row r="297" customFormat="false" ht="11.25" hidden="false" customHeight="true" outlineLevel="0" collapsed="false">
      <c r="A297" s="53" t="s">
        <v>2190</v>
      </c>
      <c r="B297" s="53" t="s">
        <v>14</v>
      </c>
      <c r="C297" s="53" t="s">
        <v>2328</v>
      </c>
      <c r="D297" s="53" t="s">
        <v>2329</v>
      </c>
      <c r="E297" s="53" t="s">
        <v>2307</v>
      </c>
      <c r="F297" s="53" t="s">
        <v>2330</v>
      </c>
      <c r="H297" s="53" t="s">
        <v>2312</v>
      </c>
      <c r="I297" s="53" t="s">
        <v>830</v>
      </c>
    </row>
    <row r="298" customFormat="false" ht="11.25" hidden="false" customHeight="true" outlineLevel="0" collapsed="false">
      <c r="A298" s="53" t="s">
        <v>2190</v>
      </c>
      <c r="B298" s="53" t="s">
        <v>14</v>
      </c>
      <c r="C298" s="53" t="s">
        <v>2331</v>
      </c>
      <c r="D298" s="53" t="s">
        <v>2332</v>
      </c>
      <c r="E298" s="53" t="s">
        <v>2307</v>
      </c>
      <c r="F298" s="53" t="s">
        <v>2234</v>
      </c>
      <c r="H298" s="53" t="s">
        <v>2312</v>
      </c>
      <c r="I298" s="53" t="s">
        <v>830</v>
      </c>
    </row>
    <row r="299" customFormat="false" ht="11.25" hidden="false" customHeight="true" outlineLevel="0" collapsed="false">
      <c r="A299" s="53" t="s">
        <v>2190</v>
      </c>
      <c r="B299" s="53" t="s">
        <v>14</v>
      </c>
      <c r="C299" s="53" t="s">
        <v>2336</v>
      </c>
      <c r="D299" s="53" t="s">
        <v>2337</v>
      </c>
      <c r="E299" s="53" t="s">
        <v>2307</v>
      </c>
      <c r="F299" s="53" t="s">
        <v>2338</v>
      </c>
      <c r="H299" s="53" t="s">
        <v>2312</v>
      </c>
      <c r="I299" s="53" t="s">
        <v>830</v>
      </c>
    </row>
    <row r="300" customFormat="false" ht="11.25" hidden="false" customHeight="true" outlineLevel="0" collapsed="false">
      <c r="A300" s="53" t="s">
        <v>2190</v>
      </c>
      <c r="B300" s="53" t="s">
        <v>14</v>
      </c>
      <c r="C300" s="53" t="s">
        <v>2339</v>
      </c>
      <c r="D300" s="53" t="s">
        <v>2340</v>
      </c>
      <c r="E300" s="53" t="s">
        <v>2307</v>
      </c>
      <c r="F300" s="53" t="s">
        <v>2341</v>
      </c>
      <c r="H300" s="53" t="s">
        <v>2312</v>
      </c>
      <c r="I300" s="53" t="s">
        <v>830</v>
      </c>
    </row>
    <row r="301" customFormat="false" ht="11.25" hidden="false" customHeight="true" outlineLevel="0" collapsed="false">
      <c r="A301" s="53" t="s">
        <v>2190</v>
      </c>
      <c r="B301" s="53" t="s">
        <v>14</v>
      </c>
      <c r="C301" s="53" t="s">
        <v>2342</v>
      </c>
      <c r="D301" s="53" t="s">
        <v>2343</v>
      </c>
      <c r="E301" s="53" t="s">
        <v>2307</v>
      </c>
      <c r="F301" s="53" t="s">
        <v>2344</v>
      </c>
      <c r="H301" s="53" t="s">
        <v>2345</v>
      </c>
      <c r="I301" s="53" t="s">
        <v>830</v>
      </c>
    </row>
    <row r="302" customFormat="false" ht="11.25" hidden="false" customHeight="true" outlineLevel="0" collapsed="false">
      <c r="A302" s="53" t="s">
        <v>2190</v>
      </c>
      <c r="B302" s="53" t="s">
        <v>14</v>
      </c>
      <c r="C302" s="53" t="s">
        <v>2367</v>
      </c>
      <c r="D302" s="53" t="s">
        <v>2368</v>
      </c>
      <c r="E302" s="53" t="s">
        <v>2307</v>
      </c>
      <c r="F302" s="53" t="s">
        <v>2369</v>
      </c>
      <c r="H302" s="53" t="s">
        <v>2312</v>
      </c>
      <c r="I302" s="53" t="s">
        <v>830</v>
      </c>
    </row>
    <row r="303" customFormat="false" ht="11.25" hidden="false" customHeight="true" outlineLevel="0" collapsed="false">
      <c r="A303" s="53" t="s">
        <v>2190</v>
      </c>
      <c r="B303" s="53" t="s">
        <v>14</v>
      </c>
      <c r="C303" s="53" t="s">
        <v>2373</v>
      </c>
      <c r="D303" s="53" t="s">
        <v>2374</v>
      </c>
      <c r="E303" s="53" t="s">
        <v>2375</v>
      </c>
      <c r="F303" s="53" t="s">
        <v>2208</v>
      </c>
      <c r="H303" s="53" t="s">
        <v>2376</v>
      </c>
      <c r="I303" s="53" t="s">
        <v>830</v>
      </c>
    </row>
    <row r="304" customFormat="false" ht="11.25" hidden="false" customHeight="true" outlineLevel="0" collapsed="false">
      <c r="A304" s="53" t="s">
        <v>2190</v>
      </c>
      <c r="B304" s="53" t="s">
        <v>14</v>
      </c>
      <c r="C304" s="53" t="s">
        <v>2406</v>
      </c>
      <c r="D304" s="53" t="s">
        <v>2407</v>
      </c>
      <c r="E304" s="53" t="s">
        <v>2408</v>
      </c>
      <c r="F304" s="53" t="s">
        <v>2409</v>
      </c>
      <c r="I304" s="53" t="s">
        <v>830</v>
      </c>
    </row>
    <row r="305" customFormat="false" ht="11.25" hidden="false" customHeight="true" outlineLevel="0" collapsed="false">
      <c r="A305" s="53" t="s">
        <v>2190</v>
      </c>
      <c r="B305" s="53" t="s">
        <v>14</v>
      </c>
      <c r="C305" s="53" t="s">
        <v>2410</v>
      </c>
      <c r="D305" s="53" t="s">
        <v>2411</v>
      </c>
      <c r="E305" s="53" t="s">
        <v>2412</v>
      </c>
      <c r="F305" s="53" t="s">
        <v>2409</v>
      </c>
      <c r="H305" s="53" t="s">
        <v>2413</v>
      </c>
      <c r="I305" s="53" t="s">
        <v>830</v>
      </c>
    </row>
    <row r="306" customFormat="false" ht="11.25" hidden="false" customHeight="true" outlineLevel="0" collapsed="false">
      <c r="A306" s="53" t="s">
        <v>2190</v>
      </c>
      <c r="B306" s="53" t="s">
        <v>14</v>
      </c>
      <c r="C306" s="53" t="s">
        <v>2421</v>
      </c>
      <c r="D306" s="53" t="s">
        <v>2422</v>
      </c>
      <c r="E306" s="53" t="s">
        <v>2423</v>
      </c>
      <c r="F306" s="53" t="s">
        <v>2254</v>
      </c>
      <c r="I306" s="53" t="s">
        <v>830</v>
      </c>
    </row>
    <row r="307" customFormat="false" ht="11.25" hidden="false" customHeight="true" outlineLevel="0" collapsed="false">
      <c r="A307" s="53" t="s">
        <v>2190</v>
      </c>
      <c r="B307" s="53" t="s">
        <v>14</v>
      </c>
      <c r="C307" s="53" t="s">
        <v>2424</v>
      </c>
      <c r="D307" s="53" t="s">
        <v>2425</v>
      </c>
      <c r="E307" s="53" t="s">
        <v>2426</v>
      </c>
      <c r="F307" s="53" t="s">
        <v>2427</v>
      </c>
      <c r="H307" s="53" t="s">
        <v>2428</v>
      </c>
      <c r="I307" s="53" t="s">
        <v>830</v>
      </c>
    </row>
    <row r="308" customFormat="false" ht="11.25" hidden="false" customHeight="true" outlineLevel="0" collapsed="false">
      <c r="A308" s="53" t="s">
        <v>2190</v>
      </c>
      <c r="B308" s="53" t="s">
        <v>14</v>
      </c>
      <c r="C308" s="53" t="s">
        <v>2429</v>
      </c>
      <c r="D308" s="53" t="s">
        <v>2430</v>
      </c>
      <c r="E308" s="53" t="s">
        <v>2431</v>
      </c>
      <c r="F308" s="53" t="s">
        <v>2254</v>
      </c>
      <c r="H308" s="53" t="s">
        <v>2432</v>
      </c>
      <c r="I308" s="53" t="s">
        <v>830</v>
      </c>
    </row>
    <row r="309" customFormat="false" ht="11.25" hidden="false" customHeight="true" outlineLevel="0" collapsed="false">
      <c r="A309" s="53" t="s">
        <v>2190</v>
      </c>
      <c r="B309" s="53" t="s">
        <v>14</v>
      </c>
      <c r="C309" s="53" t="s">
        <v>2436</v>
      </c>
      <c r="D309" s="53" t="s">
        <v>2437</v>
      </c>
      <c r="E309" s="53" t="s">
        <v>2438</v>
      </c>
      <c r="F309" s="53" t="s">
        <v>48</v>
      </c>
      <c r="I309" s="53" t="s">
        <v>830</v>
      </c>
    </row>
    <row r="310" customFormat="false" ht="11.25" hidden="false" customHeight="true" outlineLevel="0" collapsed="false">
      <c r="A310" s="53" t="s">
        <v>2190</v>
      </c>
      <c r="B310" s="53" t="s">
        <v>14</v>
      </c>
      <c r="C310" s="53" t="s">
        <v>2439</v>
      </c>
      <c r="D310" s="53" t="s">
        <v>2440</v>
      </c>
      <c r="E310" s="53" t="s">
        <v>2441</v>
      </c>
      <c r="F310" s="53" t="s">
        <v>2442</v>
      </c>
      <c r="I310" s="53" t="s">
        <v>830</v>
      </c>
    </row>
    <row r="311" customFormat="false" ht="11.25" hidden="false" customHeight="true" outlineLevel="0" collapsed="false">
      <c r="A311" s="53" t="s">
        <v>2190</v>
      </c>
      <c r="B311" s="53" t="s">
        <v>14</v>
      </c>
      <c r="C311" s="53" t="s">
        <v>2443</v>
      </c>
      <c r="D311" s="53" t="s">
        <v>2444</v>
      </c>
      <c r="E311" s="53" t="s">
        <v>2445</v>
      </c>
      <c r="F311" s="53" t="s">
        <v>2446</v>
      </c>
      <c r="H311" s="53" t="s">
        <v>2447</v>
      </c>
      <c r="I311" s="53" t="s">
        <v>830</v>
      </c>
    </row>
    <row r="312" customFormat="false" ht="11.25" hidden="false" customHeight="true" outlineLevel="0" collapsed="false">
      <c r="A312" s="53" t="s">
        <v>2190</v>
      </c>
      <c r="B312" s="53" t="s">
        <v>14</v>
      </c>
      <c r="C312" s="53" t="s">
        <v>3131</v>
      </c>
      <c r="D312" s="53" t="s">
        <v>3132</v>
      </c>
      <c r="E312" s="53" t="s">
        <v>2445</v>
      </c>
      <c r="F312" s="53" t="s">
        <v>3133</v>
      </c>
      <c r="H312" s="53" t="s">
        <v>2525</v>
      </c>
      <c r="I312" s="53" t="s">
        <v>830</v>
      </c>
    </row>
    <row r="313" customFormat="false" ht="11.25" hidden="false" customHeight="true" outlineLevel="0" collapsed="false">
      <c r="A313" s="53" t="s">
        <v>2190</v>
      </c>
      <c r="B313" s="53" t="s">
        <v>14</v>
      </c>
      <c r="C313" s="53" t="s">
        <v>3134</v>
      </c>
      <c r="D313" s="53" t="s">
        <v>3135</v>
      </c>
      <c r="E313" s="53" t="s">
        <v>2445</v>
      </c>
      <c r="F313" s="53" t="s">
        <v>3136</v>
      </c>
      <c r="H313" s="53" t="s">
        <v>2525</v>
      </c>
      <c r="I313" s="53" t="s">
        <v>830</v>
      </c>
    </row>
    <row r="314" customFormat="false" ht="11.25" hidden="false" customHeight="true" outlineLevel="0" collapsed="false">
      <c r="A314" s="53" t="s">
        <v>2190</v>
      </c>
      <c r="B314" s="53" t="s">
        <v>14</v>
      </c>
      <c r="C314" s="53" t="s">
        <v>3137</v>
      </c>
      <c r="D314" s="53" t="s">
        <v>3138</v>
      </c>
      <c r="E314" s="53" t="s">
        <v>2445</v>
      </c>
      <c r="F314" s="53" t="s">
        <v>3139</v>
      </c>
      <c r="H314" s="53" t="s">
        <v>2525</v>
      </c>
      <c r="I314" s="53" t="s">
        <v>830</v>
      </c>
    </row>
    <row r="315" customFormat="false" ht="11.25" hidden="false" customHeight="true" outlineLevel="0" collapsed="false">
      <c r="A315" s="53" t="s">
        <v>2190</v>
      </c>
      <c r="B315" s="53" t="s">
        <v>14</v>
      </c>
      <c r="C315" s="53" t="s">
        <v>3140</v>
      </c>
      <c r="D315" s="53" t="s">
        <v>3141</v>
      </c>
      <c r="E315" s="53" t="s">
        <v>2445</v>
      </c>
      <c r="F315" s="53" t="s">
        <v>3142</v>
      </c>
      <c r="H315" s="53" t="s">
        <v>2525</v>
      </c>
      <c r="I315" s="53" t="s">
        <v>830</v>
      </c>
    </row>
    <row r="316" customFormat="false" ht="11.25" hidden="false" customHeight="true" outlineLevel="0" collapsed="false">
      <c r="A316" s="53" t="s">
        <v>2190</v>
      </c>
      <c r="B316" s="53" t="s">
        <v>14</v>
      </c>
      <c r="C316" s="53" t="s">
        <v>2448</v>
      </c>
      <c r="D316" s="53" t="s">
        <v>2449</v>
      </c>
      <c r="E316" s="53" t="s">
        <v>2450</v>
      </c>
      <c r="F316" s="53" t="s">
        <v>2254</v>
      </c>
      <c r="G316" s="53" t="s">
        <v>2451</v>
      </c>
      <c r="H316" s="53" t="s">
        <v>2452</v>
      </c>
      <c r="I316" s="53" t="s">
        <v>830</v>
      </c>
    </row>
    <row r="317" customFormat="false" ht="11.25" hidden="false" customHeight="true" outlineLevel="0" collapsed="false">
      <c r="A317" s="53" t="s">
        <v>2190</v>
      </c>
      <c r="B317" s="53" t="s">
        <v>14</v>
      </c>
      <c r="D317" s="53" t="s">
        <v>2453</v>
      </c>
      <c r="E317" s="53" t="s">
        <v>2454</v>
      </c>
      <c r="F317" s="53" t="s">
        <v>2258</v>
      </c>
      <c r="I317" s="53" t="s">
        <v>830</v>
      </c>
    </row>
    <row r="318" customFormat="false" ht="11.25" hidden="false" customHeight="true" outlineLevel="0" collapsed="false">
      <c r="A318" s="53" t="s">
        <v>2190</v>
      </c>
      <c r="B318" s="53" t="s">
        <v>14</v>
      </c>
      <c r="C318" s="53" t="s">
        <v>2458</v>
      </c>
      <c r="D318" s="53" t="s">
        <v>2459</v>
      </c>
      <c r="E318" s="53" t="s">
        <v>2460</v>
      </c>
      <c r="F318" s="53" t="s">
        <v>2409</v>
      </c>
      <c r="G318" s="53" t="s">
        <v>2461</v>
      </c>
      <c r="I318" s="53" t="s">
        <v>830</v>
      </c>
    </row>
    <row r="319" customFormat="false" ht="11.25" hidden="false" customHeight="true" outlineLevel="0" collapsed="false">
      <c r="A319" s="53" t="s">
        <v>2190</v>
      </c>
      <c r="B319" s="53" t="s">
        <v>14</v>
      </c>
      <c r="C319" s="53" t="s">
        <v>2462</v>
      </c>
      <c r="D319" s="53" t="s">
        <v>2463</v>
      </c>
      <c r="E319" s="53" t="s">
        <v>2464</v>
      </c>
      <c r="F319" s="53" t="s">
        <v>2254</v>
      </c>
      <c r="H319" s="53" t="s">
        <v>2452</v>
      </c>
      <c r="I319" s="53" t="s">
        <v>830</v>
      </c>
    </row>
    <row r="320" customFormat="false" ht="11.25" hidden="false" customHeight="true" outlineLevel="0" collapsed="false">
      <c r="A320" s="53" t="s">
        <v>2190</v>
      </c>
      <c r="B320" s="53" t="s">
        <v>14</v>
      </c>
      <c r="C320" s="53" t="s">
        <v>2481</v>
      </c>
      <c r="D320" s="53" t="s">
        <v>2482</v>
      </c>
      <c r="E320" s="53" t="s">
        <v>2483</v>
      </c>
      <c r="F320" s="53" t="s">
        <v>2427</v>
      </c>
      <c r="I320" s="53" t="s">
        <v>830</v>
      </c>
    </row>
    <row r="321" customFormat="false" ht="11.25" hidden="false" customHeight="true" outlineLevel="0" collapsed="false">
      <c r="A321" s="53" t="s">
        <v>2190</v>
      </c>
      <c r="B321" s="53" t="s">
        <v>14</v>
      </c>
      <c r="C321" s="53" t="s">
        <v>2487</v>
      </c>
      <c r="D321" s="53" t="s">
        <v>2488</v>
      </c>
      <c r="E321" s="53" t="s">
        <v>2489</v>
      </c>
      <c r="F321" s="53" t="s">
        <v>2222</v>
      </c>
      <c r="G321" s="53" t="s">
        <v>2490</v>
      </c>
      <c r="I321" s="53" t="s">
        <v>830</v>
      </c>
    </row>
    <row r="322" customFormat="false" ht="11.25" hidden="false" customHeight="true" outlineLevel="0" collapsed="false">
      <c r="A322" s="53" t="s">
        <v>2190</v>
      </c>
      <c r="B322" s="53" t="s">
        <v>14</v>
      </c>
      <c r="C322" s="53" t="s">
        <v>2499</v>
      </c>
      <c r="D322" s="53" t="s">
        <v>2500</v>
      </c>
      <c r="E322" s="53" t="s">
        <v>2501</v>
      </c>
      <c r="F322" s="53" t="s">
        <v>2230</v>
      </c>
      <c r="I322" s="53" t="s">
        <v>830</v>
      </c>
    </row>
    <row r="323" customFormat="false" ht="11.25" hidden="false" customHeight="true" outlineLevel="0" collapsed="false">
      <c r="A323" s="53" t="s">
        <v>2190</v>
      </c>
      <c r="B323" s="53" t="s">
        <v>14</v>
      </c>
      <c r="C323" s="53" t="s">
        <v>2502</v>
      </c>
      <c r="D323" s="53" t="s">
        <v>2503</v>
      </c>
      <c r="E323" s="53" t="s">
        <v>2504</v>
      </c>
      <c r="F323" s="53" t="s">
        <v>2427</v>
      </c>
      <c r="I323" s="53" t="s">
        <v>830</v>
      </c>
    </row>
    <row r="324" customFormat="false" ht="11.25" hidden="false" customHeight="true" outlineLevel="0" collapsed="false">
      <c r="A324" s="53" t="s">
        <v>2190</v>
      </c>
      <c r="B324" s="53" t="s">
        <v>14</v>
      </c>
      <c r="C324" s="53" t="s">
        <v>2505</v>
      </c>
      <c r="D324" s="53" t="s">
        <v>2506</v>
      </c>
      <c r="E324" s="53" t="s">
        <v>2507</v>
      </c>
      <c r="F324" s="53" t="s">
        <v>2230</v>
      </c>
      <c r="G324" s="53" t="s">
        <v>2508</v>
      </c>
      <c r="I324" s="53" t="s">
        <v>830</v>
      </c>
    </row>
    <row r="325" customFormat="false" ht="11.25" hidden="false" customHeight="true" outlineLevel="0" collapsed="false">
      <c r="A325" s="53" t="s">
        <v>2190</v>
      </c>
      <c r="B325" s="53" t="s">
        <v>14</v>
      </c>
      <c r="C325" s="53" t="s">
        <v>2519</v>
      </c>
      <c r="D325" s="53" t="s">
        <v>2513</v>
      </c>
      <c r="E325" s="53" t="s">
        <v>2520</v>
      </c>
      <c r="F325" s="53" t="s">
        <v>2521</v>
      </c>
      <c r="H325" s="53" t="s">
        <v>2522</v>
      </c>
      <c r="I325" s="53" t="s">
        <v>830</v>
      </c>
    </row>
    <row r="326" customFormat="false" ht="11.25" hidden="false" customHeight="true" outlineLevel="0" collapsed="false">
      <c r="A326" s="53" t="s">
        <v>2190</v>
      </c>
      <c r="B326" s="53" t="s">
        <v>14</v>
      </c>
      <c r="C326" s="53" t="s">
        <v>3143</v>
      </c>
      <c r="D326" s="53" t="s">
        <v>3144</v>
      </c>
      <c r="E326" s="53" t="s">
        <v>2520</v>
      </c>
      <c r="F326" s="53" t="s">
        <v>3145</v>
      </c>
      <c r="H326" s="53" t="s">
        <v>2525</v>
      </c>
      <c r="I326" s="53" t="s">
        <v>830</v>
      </c>
    </row>
    <row r="327" customFormat="false" ht="11.25" hidden="false" customHeight="true" outlineLevel="0" collapsed="false">
      <c r="A327" s="53" t="s">
        <v>2190</v>
      </c>
      <c r="B327" s="53" t="s">
        <v>14</v>
      </c>
      <c r="C327" s="53" t="s">
        <v>3146</v>
      </c>
      <c r="D327" s="53" t="s">
        <v>3147</v>
      </c>
      <c r="E327" s="53" t="s">
        <v>2520</v>
      </c>
      <c r="F327" s="53" t="s">
        <v>3148</v>
      </c>
      <c r="H327" s="53" t="s">
        <v>2525</v>
      </c>
      <c r="I327" s="53" t="s">
        <v>830</v>
      </c>
    </row>
    <row r="328" customFormat="false" ht="11.25" hidden="false" customHeight="true" outlineLevel="0" collapsed="false">
      <c r="A328" s="53" t="s">
        <v>2190</v>
      </c>
      <c r="B328" s="53" t="s">
        <v>14</v>
      </c>
      <c r="C328" s="53" t="s">
        <v>3149</v>
      </c>
      <c r="D328" s="53" t="s">
        <v>3150</v>
      </c>
      <c r="E328" s="53" t="s">
        <v>2520</v>
      </c>
      <c r="F328" s="53" t="s">
        <v>3151</v>
      </c>
      <c r="H328" s="53" t="s">
        <v>2525</v>
      </c>
      <c r="I328" s="53" t="s">
        <v>830</v>
      </c>
    </row>
    <row r="329" customFormat="false" ht="11.25" hidden="false" customHeight="true" outlineLevel="0" collapsed="false">
      <c r="A329" s="53" t="s">
        <v>2190</v>
      </c>
      <c r="B329" s="53" t="s">
        <v>14</v>
      </c>
      <c r="C329" s="53" t="s">
        <v>2523</v>
      </c>
      <c r="D329" s="53" t="s">
        <v>2524</v>
      </c>
      <c r="E329" s="53" t="s">
        <v>2520</v>
      </c>
      <c r="F329" s="53" t="s">
        <v>2230</v>
      </c>
      <c r="H329" s="53" t="s">
        <v>2525</v>
      </c>
      <c r="I329" s="53" t="s">
        <v>830</v>
      </c>
    </row>
    <row r="330" customFormat="false" ht="11.25" hidden="false" customHeight="true" outlineLevel="0" collapsed="false">
      <c r="A330" s="53" t="s">
        <v>2190</v>
      </c>
      <c r="B330" s="53" t="s">
        <v>14</v>
      </c>
      <c r="C330" s="53" t="s">
        <v>2529</v>
      </c>
      <c r="D330" s="53" t="s">
        <v>2530</v>
      </c>
      <c r="E330" s="53" t="s">
        <v>2531</v>
      </c>
      <c r="F330" s="53" t="s">
        <v>2405</v>
      </c>
      <c r="I330" s="53" t="s">
        <v>830</v>
      </c>
    </row>
    <row r="331" customFormat="false" ht="11.25" hidden="false" customHeight="true" outlineLevel="0" collapsed="false">
      <c r="A331" s="53" t="s">
        <v>2190</v>
      </c>
      <c r="B331" s="53" t="s">
        <v>14</v>
      </c>
      <c r="C331" s="53" t="s">
        <v>2532</v>
      </c>
      <c r="D331" s="53" t="s">
        <v>2533</v>
      </c>
      <c r="E331" s="53" t="s">
        <v>2534</v>
      </c>
      <c r="F331" s="53" t="s">
        <v>48</v>
      </c>
      <c r="H331" s="53" t="s">
        <v>2535</v>
      </c>
      <c r="I331" s="53" t="s">
        <v>830</v>
      </c>
    </row>
    <row r="332" customFormat="false" ht="11.25" hidden="false" customHeight="true" outlineLevel="0" collapsed="false">
      <c r="A332" s="53" t="s">
        <v>2190</v>
      </c>
      <c r="B332" s="53" t="s">
        <v>14</v>
      </c>
      <c r="C332" s="53" t="s">
        <v>2539</v>
      </c>
      <c r="D332" s="53" t="s">
        <v>2540</v>
      </c>
      <c r="E332" s="53" t="s">
        <v>2541</v>
      </c>
      <c r="F332" s="53" t="s">
        <v>2254</v>
      </c>
      <c r="G332" s="53" t="s">
        <v>2542</v>
      </c>
      <c r="I332" s="53" t="s">
        <v>830</v>
      </c>
    </row>
    <row r="333" customFormat="false" ht="11.25" hidden="false" customHeight="true" outlineLevel="0" collapsed="false">
      <c r="A333" s="53" t="s">
        <v>2190</v>
      </c>
      <c r="B333" s="53" t="s">
        <v>14</v>
      </c>
      <c r="C333" s="53" t="s">
        <v>3152</v>
      </c>
      <c r="D333" s="53" t="s">
        <v>3153</v>
      </c>
      <c r="E333" s="53" t="s">
        <v>2588</v>
      </c>
      <c r="F333" s="53" t="s">
        <v>2585</v>
      </c>
      <c r="H333" s="53" t="s">
        <v>3154</v>
      </c>
      <c r="I333" s="53" t="s">
        <v>830</v>
      </c>
    </row>
    <row r="334" customFormat="false" ht="11.25" hidden="false" customHeight="true" outlineLevel="0" collapsed="false">
      <c r="A334" s="53" t="s">
        <v>2190</v>
      </c>
      <c r="B334" s="53" t="s">
        <v>14</v>
      </c>
      <c r="C334" s="53" t="s">
        <v>2586</v>
      </c>
      <c r="D334" s="53" t="s">
        <v>2587</v>
      </c>
      <c r="E334" s="53" t="s">
        <v>2588</v>
      </c>
      <c r="F334" s="53" t="s">
        <v>2254</v>
      </c>
      <c r="I334" s="53" t="s">
        <v>830</v>
      </c>
    </row>
    <row r="335" customFormat="false" ht="11.25" hidden="false" customHeight="true" outlineLevel="0" collapsed="false">
      <c r="A335" s="53" t="s">
        <v>2190</v>
      </c>
      <c r="B335" s="53" t="s">
        <v>14</v>
      </c>
      <c r="C335" s="53" t="s">
        <v>2589</v>
      </c>
      <c r="D335" s="53" t="s">
        <v>2590</v>
      </c>
      <c r="E335" s="53" t="s">
        <v>2591</v>
      </c>
      <c r="F335" s="53" t="s">
        <v>2254</v>
      </c>
      <c r="I335" s="53" t="s">
        <v>830</v>
      </c>
    </row>
    <row r="336" customFormat="false" ht="11.25" hidden="false" customHeight="true" outlineLevel="0" collapsed="false">
      <c r="A336" s="53" t="s">
        <v>2190</v>
      </c>
      <c r="B336" s="53" t="s">
        <v>14</v>
      </c>
      <c r="C336" s="53" t="s">
        <v>2592</v>
      </c>
      <c r="D336" s="53" t="s">
        <v>2593</v>
      </c>
      <c r="E336" s="53" t="s">
        <v>2594</v>
      </c>
      <c r="F336" s="53" t="s">
        <v>2262</v>
      </c>
      <c r="H336" s="53" t="s">
        <v>2498</v>
      </c>
      <c r="I336" s="53" t="s">
        <v>830</v>
      </c>
    </row>
    <row r="337" customFormat="false" ht="11.25" hidden="false" customHeight="true" outlineLevel="0" collapsed="false">
      <c r="A337" s="53" t="s">
        <v>2190</v>
      </c>
      <c r="B337" s="53" t="s">
        <v>14</v>
      </c>
      <c r="C337" s="53" t="s">
        <v>2595</v>
      </c>
      <c r="D337" s="53" t="s">
        <v>2596</v>
      </c>
      <c r="E337" s="53" t="s">
        <v>2597</v>
      </c>
      <c r="F337" s="53" t="s">
        <v>2262</v>
      </c>
      <c r="G337" s="53" t="s">
        <v>2598</v>
      </c>
      <c r="I337" s="53" t="s">
        <v>830</v>
      </c>
    </row>
    <row r="338" customFormat="false" ht="11.25" hidden="false" customHeight="true" outlineLevel="0" collapsed="false">
      <c r="A338" s="53" t="s">
        <v>2190</v>
      </c>
      <c r="B338" s="53" t="s">
        <v>14</v>
      </c>
      <c r="C338" s="53" t="s">
        <v>2599</v>
      </c>
      <c r="D338" s="53" t="s">
        <v>2600</v>
      </c>
      <c r="E338" s="53" t="s">
        <v>2601</v>
      </c>
      <c r="F338" s="53" t="s">
        <v>2262</v>
      </c>
      <c r="I338" s="53" t="s">
        <v>830</v>
      </c>
    </row>
    <row r="339" customFormat="false" ht="11.25" hidden="false" customHeight="true" outlineLevel="0" collapsed="false">
      <c r="A339" s="53" t="s">
        <v>2190</v>
      </c>
      <c r="B339" s="53" t="s">
        <v>14</v>
      </c>
      <c r="C339" s="53" t="s">
        <v>2602</v>
      </c>
      <c r="D339" s="53" t="s">
        <v>2603</v>
      </c>
      <c r="E339" s="53" t="s">
        <v>2604</v>
      </c>
      <c r="F339" s="53" t="s">
        <v>2262</v>
      </c>
      <c r="H339" s="53" t="s">
        <v>2498</v>
      </c>
      <c r="I339" s="53" t="s">
        <v>830</v>
      </c>
    </row>
    <row r="340" customFormat="false" ht="11.25" hidden="false" customHeight="true" outlineLevel="0" collapsed="false">
      <c r="A340" s="53" t="s">
        <v>2190</v>
      </c>
      <c r="B340" s="53" t="s">
        <v>14</v>
      </c>
      <c r="C340" s="53" t="s">
        <v>3155</v>
      </c>
      <c r="D340" s="53" t="s">
        <v>3156</v>
      </c>
      <c r="E340" s="53" t="s">
        <v>3157</v>
      </c>
      <c r="F340" s="53" t="s">
        <v>2254</v>
      </c>
      <c r="H340" s="53" t="s">
        <v>3158</v>
      </c>
      <c r="I340" s="53" t="s">
        <v>830</v>
      </c>
    </row>
    <row r="341" customFormat="false" ht="11.25" hidden="false" customHeight="true" outlineLevel="0" collapsed="false">
      <c r="A341" s="53" t="s">
        <v>2190</v>
      </c>
      <c r="B341" s="53" t="s">
        <v>14</v>
      </c>
      <c r="C341" s="53" t="s">
        <v>2629</v>
      </c>
      <c r="D341" s="53" t="s">
        <v>2630</v>
      </c>
      <c r="E341" s="53" t="s">
        <v>2631</v>
      </c>
      <c r="F341" s="53" t="s">
        <v>2409</v>
      </c>
      <c r="I341" s="53" t="s">
        <v>830</v>
      </c>
    </row>
    <row r="342" customFormat="false" ht="11.25" hidden="false" customHeight="true" outlineLevel="0" collapsed="false">
      <c r="A342" s="53" t="s">
        <v>2190</v>
      </c>
      <c r="B342" s="53" t="s">
        <v>14</v>
      </c>
      <c r="C342" s="53" t="s">
        <v>2638</v>
      </c>
      <c r="D342" s="53" t="s">
        <v>2639</v>
      </c>
      <c r="E342" s="53" t="s">
        <v>2640</v>
      </c>
      <c r="F342" s="53" t="s">
        <v>2409</v>
      </c>
      <c r="H342" s="53" t="s">
        <v>2298</v>
      </c>
      <c r="I342" s="53" t="s">
        <v>830</v>
      </c>
    </row>
    <row r="343" customFormat="false" ht="11.25" hidden="false" customHeight="true" outlineLevel="0" collapsed="false">
      <c r="A343" s="53" t="s">
        <v>2190</v>
      </c>
      <c r="B343" s="53" t="s">
        <v>14</v>
      </c>
      <c r="C343" s="53" t="s">
        <v>2652</v>
      </c>
      <c r="D343" s="53" t="s">
        <v>2653</v>
      </c>
      <c r="E343" s="53" t="s">
        <v>2654</v>
      </c>
      <c r="F343" s="53" t="s">
        <v>2655</v>
      </c>
      <c r="H343" s="53" t="s">
        <v>2298</v>
      </c>
      <c r="I343" s="53" t="s">
        <v>830</v>
      </c>
    </row>
    <row r="344" customFormat="false" ht="11.25" hidden="false" customHeight="true" outlineLevel="0" collapsed="false">
      <c r="A344" s="53" t="s">
        <v>2190</v>
      </c>
      <c r="B344" s="53" t="s">
        <v>14</v>
      </c>
      <c r="C344" s="53" t="s">
        <v>2668</v>
      </c>
      <c r="D344" s="53" t="s">
        <v>2669</v>
      </c>
      <c r="E344" s="53" t="s">
        <v>2670</v>
      </c>
      <c r="F344" s="53" t="s">
        <v>2254</v>
      </c>
      <c r="I344" s="53" t="s">
        <v>830</v>
      </c>
    </row>
    <row r="345" customFormat="false" ht="11.25" hidden="false" customHeight="true" outlineLevel="0" collapsed="false">
      <c r="A345" s="53" t="s">
        <v>2190</v>
      </c>
      <c r="B345" s="53" t="s">
        <v>14</v>
      </c>
      <c r="C345" s="53" t="s">
        <v>2671</v>
      </c>
      <c r="D345" s="53" t="s">
        <v>2672</v>
      </c>
      <c r="E345" s="53" t="s">
        <v>2673</v>
      </c>
      <c r="F345" s="53" t="s">
        <v>2409</v>
      </c>
      <c r="I345" s="53" t="s">
        <v>830</v>
      </c>
    </row>
    <row r="346" customFormat="false" ht="11.25" hidden="false" customHeight="true" outlineLevel="0" collapsed="false">
      <c r="A346" s="53" t="s">
        <v>2190</v>
      </c>
      <c r="B346" s="53" t="s">
        <v>14</v>
      </c>
      <c r="C346" s="53" t="s">
        <v>3159</v>
      </c>
      <c r="D346" s="53" t="s">
        <v>3160</v>
      </c>
      <c r="E346" s="53" t="s">
        <v>3161</v>
      </c>
      <c r="F346" s="53" t="s">
        <v>2258</v>
      </c>
      <c r="H346" s="53" t="s">
        <v>3162</v>
      </c>
      <c r="I346" s="53" t="s">
        <v>830</v>
      </c>
    </row>
    <row r="347" customFormat="false" ht="11.25" hidden="false" customHeight="true" outlineLevel="0" collapsed="false">
      <c r="A347" s="53" t="s">
        <v>2190</v>
      </c>
      <c r="B347" s="53" t="s">
        <v>14</v>
      </c>
      <c r="C347" s="53" t="s">
        <v>2674</v>
      </c>
      <c r="D347" s="53" t="s">
        <v>2675</v>
      </c>
      <c r="E347" s="53" t="s">
        <v>2676</v>
      </c>
      <c r="F347" s="53" t="s">
        <v>48</v>
      </c>
      <c r="H347" s="53" t="s">
        <v>2432</v>
      </c>
      <c r="I347" s="53" t="s">
        <v>830</v>
      </c>
    </row>
    <row r="348" customFormat="false" ht="11.25" hidden="false" customHeight="true" outlineLevel="0" collapsed="false">
      <c r="A348" s="53" t="s">
        <v>2190</v>
      </c>
      <c r="B348" s="53" t="s">
        <v>14</v>
      </c>
      <c r="C348" s="53" t="s">
        <v>2680</v>
      </c>
      <c r="D348" s="53" t="s">
        <v>2681</v>
      </c>
      <c r="E348" s="53" t="s">
        <v>2676</v>
      </c>
      <c r="F348" s="53" t="s">
        <v>2682</v>
      </c>
      <c r="H348" s="53" t="s">
        <v>2518</v>
      </c>
      <c r="I348" s="53" t="s">
        <v>830</v>
      </c>
    </row>
    <row r="349" customFormat="false" ht="11.25" hidden="false" customHeight="true" outlineLevel="0" collapsed="false">
      <c r="A349" s="53" t="s">
        <v>2190</v>
      </c>
      <c r="B349" s="53" t="s">
        <v>14</v>
      </c>
      <c r="C349" s="53" t="s">
        <v>2690</v>
      </c>
      <c r="D349" s="53" t="s">
        <v>2691</v>
      </c>
      <c r="E349" s="53" t="s">
        <v>2692</v>
      </c>
      <c r="F349" s="53" t="s">
        <v>2427</v>
      </c>
      <c r="H349" s="53" t="s">
        <v>2693</v>
      </c>
      <c r="I349" s="53" t="s">
        <v>830</v>
      </c>
    </row>
    <row r="350" customFormat="false" ht="11.25" hidden="false" customHeight="true" outlineLevel="0" collapsed="false">
      <c r="A350" s="53" t="s">
        <v>2190</v>
      </c>
      <c r="B350" s="53" t="s">
        <v>14</v>
      </c>
      <c r="C350" s="53" t="s">
        <v>2694</v>
      </c>
      <c r="D350" s="53" t="s">
        <v>2695</v>
      </c>
      <c r="E350" s="53" t="s">
        <v>2696</v>
      </c>
      <c r="F350" s="53" t="s">
        <v>2427</v>
      </c>
      <c r="H350" s="53" t="s">
        <v>2697</v>
      </c>
      <c r="I350" s="53" t="s">
        <v>830</v>
      </c>
    </row>
    <row r="351" customFormat="false" ht="11.25" hidden="false" customHeight="true" outlineLevel="0" collapsed="false">
      <c r="A351" s="53" t="s">
        <v>2190</v>
      </c>
      <c r="B351" s="53" t="s">
        <v>14</v>
      </c>
      <c r="C351" s="53" t="s">
        <v>2698</v>
      </c>
      <c r="D351" s="53" t="s">
        <v>2699</v>
      </c>
      <c r="E351" s="53" t="s">
        <v>2700</v>
      </c>
      <c r="F351" s="53" t="s">
        <v>2226</v>
      </c>
      <c r="I351" s="53" t="s">
        <v>830</v>
      </c>
    </row>
    <row r="352" customFormat="false" ht="11.25" hidden="false" customHeight="true" outlineLevel="0" collapsed="false">
      <c r="A352" s="53" t="s">
        <v>2190</v>
      </c>
      <c r="B352" s="53" t="s">
        <v>14</v>
      </c>
      <c r="C352" s="53" t="s">
        <v>2701</v>
      </c>
      <c r="D352" s="53" t="s">
        <v>2702</v>
      </c>
      <c r="E352" s="53" t="s">
        <v>2703</v>
      </c>
      <c r="F352" s="53" t="s">
        <v>2258</v>
      </c>
      <c r="G352" s="53" t="s">
        <v>2269</v>
      </c>
      <c r="H352" s="53" t="s">
        <v>2704</v>
      </c>
      <c r="I352" s="53" t="s">
        <v>830</v>
      </c>
    </row>
    <row r="353" customFormat="false" ht="11.25" hidden="false" customHeight="true" outlineLevel="0" collapsed="false">
      <c r="A353" s="53" t="s">
        <v>2190</v>
      </c>
      <c r="B353" s="53" t="s">
        <v>14</v>
      </c>
      <c r="C353" s="53" t="s">
        <v>2705</v>
      </c>
      <c r="D353" s="53" t="s">
        <v>2706</v>
      </c>
      <c r="E353" s="53" t="s">
        <v>2275</v>
      </c>
      <c r="F353" s="53" t="s">
        <v>2262</v>
      </c>
      <c r="H353" s="53" t="s">
        <v>2664</v>
      </c>
      <c r="I353" s="53" t="s">
        <v>830</v>
      </c>
    </row>
    <row r="354" customFormat="false" ht="11.25" hidden="false" customHeight="true" outlineLevel="0" collapsed="false">
      <c r="A354" s="53" t="s">
        <v>2190</v>
      </c>
      <c r="B354" s="53" t="s">
        <v>14</v>
      </c>
      <c r="C354" s="53" t="s">
        <v>3163</v>
      </c>
      <c r="D354" s="53" t="s">
        <v>3164</v>
      </c>
      <c r="E354" s="53" t="s">
        <v>2275</v>
      </c>
      <c r="F354" s="53" t="s">
        <v>2446</v>
      </c>
      <c r="H354" s="53" t="s">
        <v>2664</v>
      </c>
      <c r="I354" s="53" t="s">
        <v>830</v>
      </c>
    </row>
    <row r="355" customFormat="false" ht="11.25" hidden="false" customHeight="true" outlineLevel="0" collapsed="false">
      <c r="A355" s="53" t="s">
        <v>2190</v>
      </c>
      <c r="B355" s="53" t="s">
        <v>14</v>
      </c>
      <c r="C355" s="53" t="s">
        <v>2742</v>
      </c>
      <c r="D355" s="53" t="s">
        <v>2743</v>
      </c>
      <c r="E355" s="53" t="s">
        <v>2744</v>
      </c>
      <c r="F355" s="53" t="s">
        <v>2258</v>
      </c>
      <c r="I355" s="53" t="s">
        <v>830</v>
      </c>
    </row>
    <row r="356" customFormat="false" ht="11.25" hidden="false" customHeight="true" outlineLevel="0" collapsed="false">
      <c r="A356" s="53" t="s">
        <v>2190</v>
      </c>
      <c r="B356" s="53" t="s">
        <v>14</v>
      </c>
      <c r="C356" s="53" t="s">
        <v>2745</v>
      </c>
      <c r="D356" s="53" t="s">
        <v>2746</v>
      </c>
      <c r="E356" s="53" t="s">
        <v>2747</v>
      </c>
      <c r="F356" s="53" t="s">
        <v>2748</v>
      </c>
      <c r="G356" s="53" t="s">
        <v>2749</v>
      </c>
      <c r="I356" s="53" t="s">
        <v>830</v>
      </c>
    </row>
    <row r="357" customFormat="false" ht="11.25" hidden="false" customHeight="true" outlineLevel="0" collapsed="false">
      <c r="A357" s="53" t="s">
        <v>2190</v>
      </c>
      <c r="B357" s="53" t="s">
        <v>14</v>
      </c>
      <c r="C357" s="53" t="s">
        <v>2750</v>
      </c>
      <c r="D357" s="53" t="s">
        <v>2751</v>
      </c>
      <c r="E357" s="53" t="s">
        <v>2752</v>
      </c>
      <c r="F357" s="53" t="s">
        <v>2753</v>
      </c>
      <c r="G357" s="53" t="s">
        <v>2754</v>
      </c>
      <c r="I357" s="53" t="s">
        <v>830</v>
      </c>
    </row>
    <row r="358" customFormat="false" ht="11.25" hidden="false" customHeight="true" outlineLevel="0" collapsed="false">
      <c r="A358" s="53" t="s">
        <v>2190</v>
      </c>
      <c r="B358" s="53" t="s">
        <v>14</v>
      </c>
      <c r="C358" s="53" t="s">
        <v>2755</v>
      </c>
      <c r="D358" s="53" t="s">
        <v>2756</v>
      </c>
      <c r="E358" s="53" t="s">
        <v>2757</v>
      </c>
      <c r="F358" s="53" t="s">
        <v>2758</v>
      </c>
      <c r="H358" s="53" t="s">
        <v>2759</v>
      </c>
      <c r="I358" s="53" t="s">
        <v>830</v>
      </c>
    </row>
    <row r="359" customFormat="false" ht="11.25" hidden="false" customHeight="true" outlineLevel="0" collapsed="false">
      <c r="A359" s="53" t="s">
        <v>2190</v>
      </c>
      <c r="B359" s="53" t="s">
        <v>14</v>
      </c>
      <c r="C359" s="53" t="s">
        <v>2769</v>
      </c>
      <c r="D359" s="53" t="s">
        <v>43</v>
      </c>
      <c r="E359" s="53" t="s">
        <v>46</v>
      </c>
      <c r="F359" s="53" t="s">
        <v>48</v>
      </c>
      <c r="G359" s="53" t="s">
        <v>2770</v>
      </c>
      <c r="I359" s="53" t="s">
        <v>830</v>
      </c>
    </row>
    <row r="360" customFormat="false" ht="11.25" hidden="false" customHeight="true" outlineLevel="0" collapsed="false">
      <c r="A360" s="53" t="s">
        <v>2190</v>
      </c>
      <c r="B360" s="53" t="s">
        <v>14</v>
      </c>
      <c r="C360" s="53" t="s">
        <v>2780</v>
      </c>
      <c r="D360" s="53" t="s">
        <v>2781</v>
      </c>
      <c r="E360" s="53" t="s">
        <v>2782</v>
      </c>
      <c r="F360" s="53" t="s">
        <v>2409</v>
      </c>
      <c r="G360" s="53" t="s">
        <v>2783</v>
      </c>
      <c r="I360" s="53" t="s">
        <v>830</v>
      </c>
    </row>
    <row r="361" customFormat="false" ht="11.25" hidden="false" customHeight="true" outlineLevel="0" collapsed="false">
      <c r="A361" s="53" t="s">
        <v>2190</v>
      </c>
      <c r="B361" s="53" t="s">
        <v>14</v>
      </c>
      <c r="C361" s="53" t="s">
        <v>2809</v>
      </c>
      <c r="D361" s="53" t="s">
        <v>2807</v>
      </c>
      <c r="E361" s="53" t="s">
        <v>2808</v>
      </c>
      <c r="F361" s="53" t="s">
        <v>2254</v>
      </c>
      <c r="H361" s="53" t="s">
        <v>2810</v>
      </c>
      <c r="I361" s="53" t="s">
        <v>830</v>
      </c>
    </row>
    <row r="362" customFormat="false" ht="11.25" hidden="false" customHeight="true" outlineLevel="0" collapsed="false">
      <c r="A362" s="53" t="s">
        <v>2190</v>
      </c>
      <c r="B362" s="53" t="s">
        <v>14</v>
      </c>
      <c r="C362" s="53" t="s">
        <v>2814</v>
      </c>
      <c r="D362" s="53" t="s">
        <v>2815</v>
      </c>
      <c r="E362" s="53" t="s">
        <v>2816</v>
      </c>
      <c r="F362" s="53" t="s">
        <v>2409</v>
      </c>
      <c r="I362" s="53" t="s">
        <v>830</v>
      </c>
    </row>
    <row r="363" customFormat="false" ht="11.25" hidden="false" customHeight="true" outlineLevel="0" collapsed="false">
      <c r="A363" s="53" t="s">
        <v>2190</v>
      </c>
      <c r="B363" s="53" t="s">
        <v>14</v>
      </c>
      <c r="C363" s="53" t="s">
        <v>2817</v>
      </c>
      <c r="D363" s="53" t="s">
        <v>2818</v>
      </c>
      <c r="E363" s="53" t="s">
        <v>2819</v>
      </c>
      <c r="F363" s="53" t="s">
        <v>2230</v>
      </c>
      <c r="I363" s="53" t="s">
        <v>830</v>
      </c>
    </row>
    <row r="364" customFormat="false" ht="11.25" hidden="false" customHeight="true" outlineLevel="0" collapsed="false">
      <c r="A364" s="53" t="s">
        <v>2190</v>
      </c>
      <c r="B364" s="53" t="s">
        <v>14</v>
      </c>
      <c r="C364" s="53" t="s">
        <v>2841</v>
      </c>
      <c r="D364" s="53" t="s">
        <v>2842</v>
      </c>
      <c r="E364" s="53" t="s">
        <v>2843</v>
      </c>
      <c r="F364" s="53" t="s">
        <v>2409</v>
      </c>
      <c r="G364" s="53" t="s">
        <v>2844</v>
      </c>
      <c r="I364" s="53" t="s">
        <v>830</v>
      </c>
    </row>
    <row r="365" customFormat="false" ht="11.25" hidden="false" customHeight="true" outlineLevel="0" collapsed="false">
      <c r="A365" s="53" t="s">
        <v>2190</v>
      </c>
      <c r="B365" s="53" t="s">
        <v>14</v>
      </c>
      <c r="C365" s="53" t="s">
        <v>2852</v>
      </c>
      <c r="D365" s="53" t="s">
        <v>2853</v>
      </c>
      <c r="E365" s="53" t="s">
        <v>2854</v>
      </c>
      <c r="F365" s="53" t="s">
        <v>2226</v>
      </c>
      <c r="H365" s="53" t="s">
        <v>2298</v>
      </c>
      <c r="I365" s="53" t="s">
        <v>830</v>
      </c>
    </row>
    <row r="366" customFormat="false" ht="11.25" hidden="false" customHeight="true" outlineLevel="0" collapsed="false">
      <c r="A366" s="53" t="s">
        <v>2190</v>
      </c>
      <c r="B366" s="53" t="s">
        <v>14</v>
      </c>
      <c r="C366" s="53" t="s">
        <v>2858</v>
      </c>
      <c r="D366" s="53" t="s">
        <v>2859</v>
      </c>
      <c r="E366" s="53" t="s">
        <v>2860</v>
      </c>
      <c r="F366" s="53" t="s">
        <v>2585</v>
      </c>
      <c r="I366" s="53" t="s">
        <v>830</v>
      </c>
    </row>
    <row r="367" customFormat="false" ht="11.25" hidden="false" customHeight="true" outlineLevel="0" collapsed="false">
      <c r="A367" s="53" t="s">
        <v>2190</v>
      </c>
      <c r="B367" s="53" t="s">
        <v>14</v>
      </c>
      <c r="C367" s="53" t="s">
        <v>2876</v>
      </c>
      <c r="D367" s="53" t="s">
        <v>2877</v>
      </c>
      <c r="E367" s="53" t="s">
        <v>2878</v>
      </c>
      <c r="F367" s="53" t="s">
        <v>2254</v>
      </c>
      <c r="G367" s="53" t="s">
        <v>2879</v>
      </c>
      <c r="I367" s="53" t="s">
        <v>830</v>
      </c>
    </row>
    <row r="368" customFormat="false" ht="11.25" hidden="false" customHeight="true" outlineLevel="0" collapsed="false">
      <c r="A368" s="53" t="s">
        <v>2190</v>
      </c>
      <c r="B368" s="53" t="s">
        <v>14</v>
      </c>
      <c r="C368" s="53" t="s">
        <v>2888</v>
      </c>
      <c r="D368" s="53" t="s">
        <v>2889</v>
      </c>
      <c r="E368" s="53" t="s">
        <v>2890</v>
      </c>
      <c r="F368" s="53" t="s">
        <v>2258</v>
      </c>
      <c r="G368" s="53" t="s">
        <v>2891</v>
      </c>
      <c r="I368" s="53" t="s">
        <v>830</v>
      </c>
    </row>
    <row r="369" customFormat="false" ht="11.25" hidden="false" customHeight="true" outlineLevel="0" collapsed="false">
      <c r="A369" s="53" t="s">
        <v>2190</v>
      </c>
      <c r="B369" s="53" t="s">
        <v>14</v>
      </c>
      <c r="C369" s="53" t="s">
        <v>2892</v>
      </c>
      <c r="D369" s="53" t="s">
        <v>2893</v>
      </c>
      <c r="E369" s="53" t="s">
        <v>2894</v>
      </c>
      <c r="F369" s="53" t="s">
        <v>2254</v>
      </c>
      <c r="I369" s="53" t="s">
        <v>830</v>
      </c>
    </row>
    <row r="370" customFormat="false" ht="11.25" hidden="false" customHeight="true" outlineLevel="0" collapsed="false">
      <c r="A370" s="53" t="s">
        <v>2190</v>
      </c>
      <c r="B370" s="53" t="s">
        <v>14</v>
      </c>
      <c r="C370" s="53" t="s">
        <v>2895</v>
      </c>
      <c r="D370" s="53" t="s">
        <v>2896</v>
      </c>
      <c r="E370" s="53" t="s">
        <v>2897</v>
      </c>
      <c r="F370" s="53" t="s">
        <v>2409</v>
      </c>
      <c r="H370" s="53" t="s">
        <v>2547</v>
      </c>
      <c r="I370" s="53" t="s">
        <v>830</v>
      </c>
    </row>
    <row r="371" customFormat="false" ht="11.25" hidden="false" customHeight="true" outlineLevel="0" collapsed="false">
      <c r="A371" s="53" t="s">
        <v>2190</v>
      </c>
      <c r="B371" s="53" t="s">
        <v>14</v>
      </c>
      <c r="C371" s="53" t="s">
        <v>2898</v>
      </c>
      <c r="D371" s="53" t="s">
        <v>2899</v>
      </c>
      <c r="E371" s="53" t="s">
        <v>2900</v>
      </c>
      <c r="F371" s="53" t="s">
        <v>2405</v>
      </c>
      <c r="I371" s="53" t="s">
        <v>830</v>
      </c>
    </row>
    <row r="372" customFormat="false" ht="11.25" hidden="false" customHeight="true" outlineLevel="0" collapsed="false">
      <c r="A372" s="53" t="s">
        <v>2190</v>
      </c>
      <c r="B372" s="53" t="s">
        <v>14</v>
      </c>
      <c r="C372" s="53" t="s">
        <v>2901</v>
      </c>
      <c r="D372" s="53" t="s">
        <v>2902</v>
      </c>
      <c r="E372" s="53" t="s">
        <v>2903</v>
      </c>
      <c r="F372" s="53" t="s">
        <v>2258</v>
      </c>
      <c r="G372" s="53" t="s">
        <v>2904</v>
      </c>
      <c r="I372" s="53" t="s">
        <v>830</v>
      </c>
    </row>
    <row r="373" customFormat="false" ht="11.25" hidden="false" customHeight="true" outlineLevel="0" collapsed="false">
      <c r="A373" s="53" t="s">
        <v>2190</v>
      </c>
      <c r="B373" s="53" t="s">
        <v>14</v>
      </c>
      <c r="C373" s="53" t="s">
        <v>2905</v>
      </c>
      <c r="D373" s="53" t="s">
        <v>2906</v>
      </c>
      <c r="E373" s="53" t="s">
        <v>2907</v>
      </c>
      <c r="F373" s="53" t="s">
        <v>2234</v>
      </c>
      <c r="I373" s="53" t="s">
        <v>830</v>
      </c>
    </row>
    <row r="374" customFormat="false" ht="11.25" hidden="false" customHeight="true" outlineLevel="0" collapsed="false">
      <c r="A374" s="53" t="s">
        <v>2190</v>
      </c>
      <c r="B374" s="53" t="s">
        <v>14</v>
      </c>
      <c r="C374" s="53" t="s">
        <v>2912</v>
      </c>
      <c r="D374" s="53" t="s">
        <v>2913</v>
      </c>
      <c r="E374" s="53" t="s">
        <v>2914</v>
      </c>
      <c r="F374" s="53" t="s">
        <v>2427</v>
      </c>
      <c r="G374" s="53" t="s">
        <v>2915</v>
      </c>
      <c r="I374" s="53" t="s">
        <v>830</v>
      </c>
    </row>
    <row r="375" customFormat="false" ht="11.25" hidden="false" customHeight="true" outlineLevel="0" collapsed="false">
      <c r="A375" s="53" t="s">
        <v>2190</v>
      </c>
      <c r="B375" s="53" t="s">
        <v>14</v>
      </c>
      <c r="C375" s="53" t="s">
        <v>2916</v>
      </c>
      <c r="D375" s="53" t="s">
        <v>2917</v>
      </c>
      <c r="E375" s="53" t="s">
        <v>2918</v>
      </c>
      <c r="F375" s="53" t="s">
        <v>2409</v>
      </c>
      <c r="G375" s="53" t="s">
        <v>2919</v>
      </c>
      <c r="I375" s="53" t="s">
        <v>830</v>
      </c>
    </row>
    <row r="376" customFormat="false" ht="11.25" hidden="false" customHeight="true" outlineLevel="0" collapsed="false">
      <c r="A376" s="53" t="s">
        <v>2190</v>
      </c>
      <c r="B376" s="53" t="s">
        <v>14</v>
      </c>
      <c r="C376" s="53" t="s">
        <v>2938</v>
      </c>
      <c r="D376" s="53" t="s">
        <v>2939</v>
      </c>
      <c r="E376" s="53" t="s">
        <v>2940</v>
      </c>
      <c r="F376" s="53" t="s">
        <v>2258</v>
      </c>
      <c r="I376" s="53" t="s">
        <v>830</v>
      </c>
    </row>
    <row r="377" customFormat="false" ht="11.25" hidden="false" customHeight="true" outlineLevel="0" collapsed="false">
      <c r="A377" s="53" t="s">
        <v>2190</v>
      </c>
      <c r="B377" s="53" t="s">
        <v>14</v>
      </c>
      <c r="C377" s="53" t="s">
        <v>2941</v>
      </c>
      <c r="D377" s="53" t="s">
        <v>2942</v>
      </c>
      <c r="E377" s="53" t="s">
        <v>2943</v>
      </c>
      <c r="F377" s="53" t="s">
        <v>2262</v>
      </c>
      <c r="I377" s="53" t="s">
        <v>830</v>
      </c>
    </row>
    <row r="378" customFormat="false" ht="11.25" hidden="false" customHeight="true" outlineLevel="0" collapsed="false">
      <c r="A378" s="53" t="s">
        <v>2190</v>
      </c>
      <c r="B378" s="53" t="s">
        <v>14</v>
      </c>
      <c r="C378" s="53" t="s">
        <v>2947</v>
      </c>
      <c r="D378" s="53" t="s">
        <v>2948</v>
      </c>
      <c r="E378" s="53" t="s">
        <v>2949</v>
      </c>
      <c r="F378" s="53" t="s">
        <v>2427</v>
      </c>
      <c r="G378" s="53" t="s">
        <v>2950</v>
      </c>
      <c r="I378" s="53" t="s">
        <v>830</v>
      </c>
    </row>
    <row r="379" customFormat="false" ht="11.25" hidden="false" customHeight="true" outlineLevel="0" collapsed="false">
      <c r="A379" s="53" t="s">
        <v>2190</v>
      </c>
      <c r="B379" s="53" t="s">
        <v>14</v>
      </c>
      <c r="C379" s="53" t="s">
        <v>3165</v>
      </c>
      <c r="D379" s="53" t="s">
        <v>2952</v>
      </c>
      <c r="E379" s="53" t="s">
        <v>2953</v>
      </c>
      <c r="F379" s="53" t="s">
        <v>2226</v>
      </c>
      <c r="H379" s="53" t="s">
        <v>3166</v>
      </c>
      <c r="I379" s="53" t="s">
        <v>830</v>
      </c>
    </row>
    <row r="380" customFormat="false" ht="11.25" hidden="false" customHeight="true" outlineLevel="0" collapsed="false">
      <c r="A380" s="53" t="s">
        <v>2190</v>
      </c>
      <c r="B380" s="53" t="s">
        <v>14</v>
      </c>
      <c r="C380" s="53" t="s">
        <v>2951</v>
      </c>
      <c r="D380" s="53" t="s">
        <v>2952</v>
      </c>
      <c r="E380" s="53" t="s">
        <v>2953</v>
      </c>
      <c r="F380" s="53" t="s">
        <v>2226</v>
      </c>
      <c r="G380" s="53" t="s">
        <v>2213</v>
      </c>
      <c r="H380" s="53" t="s">
        <v>2704</v>
      </c>
      <c r="I380" s="53" t="s">
        <v>830</v>
      </c>
    </row>
    <row r="381" customFormat="false" ht="11.25" hidden="false" customHeight="true" outlineLevel="0" collapsed="false">
      <c r="A381" s="53" t="s">
        <v>2190</v>
      </c>
      <c r="B381" s="53" t="s">
        <v>14</v>
      </c>
      <c r="C381" s="53" t="s">
        <v>2961</v>
      </c>
      <c r="D381" s="53" t="s">
        <v>2962</v>
      </c>
      <c r="E381" s="53" t="s">
        <v>2963</v>
      </c>
      <c r="F381" s="53" t="s">
        <v>2427</v>
      </c>
      <c r="H381" s="53" t="s">
        <v>2964</v>
      </c>
      <c r="I381" s="53" t="s">
        <v>830</v>
      </c>
    </row>
    <row r="382" customFormat="false" ht="11.25" hidden="false" customHeight="true" outlineLevel="0" collapsed="false">
      <c r="A382" s="53" t="s">
        <v>2190</v>
      </c>
      <c r="B382" s="53" t="s">
        <v>14</v>
      </c>
      <c r="C382" s="53" t="s">
        <v>2965</v>
      </c>
      <c r="D382" s="53" t="s">
        <v>2966</v>
      </c>
      <c r="E382" s="53" t="s">
        <v>2953</v>
      </c>
      <c r="F382" s="53" t="s">
        <v>48</v>
      </c>
      <c r="G382" s="53" t="s">
        <v>2213</v>
      </c>
      <c r="I382" s="53" t="s">
        <v>830</v>
      </c>
    </row>
    <row r="383" customFormat="false" ht="11.25" hidden="false" customHeight="true" outlineLevel="0" collapsed="false">
      <c r="A383" s="53" t="s">
        <v>2190</v>
      </c>
      <c r="B383" s="53" t="s">
        <v>14</v>
      </c>
      <c r="C383" s="53" t="s">
        <v>2967</v>
      </c>
      <c r="D383" s="53" t="s">
        <v>2968</v>
      </c>
      <c r="E383" s="53" t="s">
        <v>2969</v>
      </c>
      <c r="F383" s="53" t="s">
        <v>2254</v>
      </c>
      <c r="I383" s="53" t="s">
        <v>830</v>
      </c>
    </row>
    <row r="384" customFormat="false" ht="11.25" hidden="false" customHeight="true" outlineLevel="0" collapsed="false">
      <c r="A384" s="53" t="s">
        <v>2190</v>
      </c>
      <c r="B384" s="53" t="s">
        <v>14</v>
      </c>
      <c r="C384" s="53" t="s">
        <v>2974</v>
      </c>
      <c r="D384" s="53" t="s">
        <v>2975</v>
      </c>
      <c r="E384" s="53" t="s">
        <v>2976</v>
      </c>
      <c r="F384" s="53" t="s">
        <v>2234</v>
      </c>
      <c r="H384" s="53" t="s">
        <v>2977</v>
      </c>
      <c r="I384" s="53" t="s">
        <v>830</v>
      </c>
    </row>
    <row r="385" customFormat="false" ht="11.25" hidden="false" customHeight="true" outlineLevel="0" collapsed="false">
      <c r="A385" s="53" t="s">
        <v>2190</v>
      </c>
      <c r="B385" s="53" t="s">
        <v>14</v>
      </c>
      <c r="C385" s="53" t="s">
        <v>2996</v>
      </c>
      <c r="D385" s="53" t="s">
        <v>2997</v>
      </c>
      <c r="E385" s="53" t="s">
        <v>2998</v>
      </c>
      <c r="F385" s="53" t="s">
        <v>48</v>
      </c>
      <c r="I385" s="53" t="s">
        <v>830</v>
      </c>
    </row>
    <row r="386" customFormat="false" ht="11.25" hidden="false" customHeight="true" outlineLevel="0" collapsed="false">
      <c r="A386" s="53" t="s">
        <v>2190</v>
      </c>
      <c r="B386" s="53" t="s">
        <v>14</v>
      </c>
      <c r="C386" s="53" t="s">
        <v>3011</v>
      </c>
      <c r="D386" s="53" t="s">
        <v>3012</v>
      </c>
      <c r="E386" s="53" t="s">
        <v>3013</v>
      </c>
      <c r="F386" s="53" t="s">
        <v>2254</v>
      </c>
      <c r="I386" s="53" t="s">
        <v>830</v>
      </c>
    </row>
    <row r="387" customFormat="false" ht="11.25" hidden="false" customHeight="true" outlineLevel="0" collapsed="false">
      <c r="A387" s="53" t="s">
        <v>2190</v>
      </c>
      <c r="B387" s="53" t="s">
        <v>14</v>
      </c>
      <c r="C387" s="53" t="s">
        <v>3017</v>
      </c>
      <c r="D387" s="53" t="s">
        <v>3018</v>
      </c>
      <c r="E387" s="53" t="s">
        <v>2688</v>
      </c>
      <c r="F387" s="53" t="s">
        <v>2226</v>
      </c>
      <c r="I387" s="53" t="s">
        <v>830</v>
      </c>
    </row>
    <row r="388" customFormat="false" ht="11.25" hidden="false" customHeight="true" outlineLevel="0" collapsed="false">
      <c r="A388" s="53" t="s">
        <v>2190</v>
      </c>
      <c r="B388" s="53" t="s">
        <v>14</v>
      </c>
      <c r="C388" s="53" t="s">
        <v>3019</v>
      </c>
      <c r="D388" s="53" t="s">
        <v>3018</v>
      </c>
      <c r="E388" s="53" t="s">
        <v>2688</v>
      </c>
      <c r="F388" s="53" t="s">
        <v>3020</v>
      </c>
      <c r="I388" s="53" t="s">
        <v>830</v>
      </c>
    </row>
    <row r="389" customFormat="false" ht="11.25" hidden="false" customHeight="true" outlineLevel="0" collapsed="false">
      <c r="A389" s="53" t="s">
        <v>2190</v>
      </c>
      <c r="B389" s="53" t="s">
        <v>14</v>
      </c>
      <c r="C389" s="53" t="s">
        <v>3044</v>
      </c>
      <c r="D389" s="53" t="s">
        <v>3045</v>
      </c>
      <c r="E389" s="53" t="s">
        <v>2292</v>
      </c>
      <c r="F389" s="53" t="s">
        <v>3046</v>
      </c>
      <c r="I389" s="53" t="s">
        <v>830</v>
      </c>
    </row>
    <row r="390" customFormat="false" ht="11.25" hidden="false" customHeight="true" outlineLevel="0" collapsed="false">
      <c r="A390" s="53" t="s">
        <v>2190</v>
      </c>
      <c r="B390" s="53" t="s">
        <v>14</v>
      </c>
      <c r="C390" s="53" t="s">
        <v>3050</v>
      </c>
      <c r="D390" s="53" t="s">
        <v>3051</v>
      </c>
      <c r="E390" s="53" t="s">
        <v>3052</v>
      </c>
      <c r="F390" s="53" t="s">
        <v>2258</v>
      </c>
      <c r="H390" s="53" t="s">
        <v>2616</v>
      </c>
      <c r="I390" s="53" t="s">
        <v>830</v>
      </c>
    </row>
    <row r="391" customFormat="false" ht="11.25" hidden="false" customHeight="true" outlineLevel="0" collapsed="false">
      <c r="A391" s="53" t="s">
        <v>2190</v>
      </c>
      <c r="B391" s="53" t="s">
        <v>14</v>
      </c>
      <c r="C391" s="53" t="s">
        <v>3053</v>
      </c>
      <c r="D391" s="53" t="s">
        <v>3054</v>
      </c>
      <c r="E391" s="53" t="s">
        <v>3055</v>
      </c>
      <c r="F391" s="53" t="s">
        <v>3056</v>
      </c>
      <c r="I391" s="53" t="s">
        <v>830</v>
      </c>
    </row>
    <row r="392" customFormat="false" ht="11.25" hidden="false" customHeight="true" outlineLevel="0" collapsed="false">
      <c r="A392" s="53" t="s">
        <v>2190</v>
      </c>
      <c r="B392" s="53" t="s">
        <v>14</v>
      </c>
      <c r="C392" s="53" t="s">
        <v>3071</v>
      </c>
      <c r="D392" s="53" t="s">
        <v>3072</v>
      </c>
      <c r="E392" s="53" t="s">
        <v>3073</v>
      </c>
      <c r="F392" s="53" t="s">
        <v>2254</v>
      </c>
      <c r="I392" s="53" t="s">
        <v>830</v>
      </c>
    </row>
    <row r="393" customFormat="false" ht="11.25" hidden="false" customHeight="true" outlineLevel="0" collapsed="false">
      <c r="A393" s="53" t="s">
        <v>2190</v>
      </c>
      <c r="B393" s="53" t="s">
        <v>14</v>
      </c>
      <c r="C393" s="53" t="s">
        <v>3097</v>
      </c>
      <c r="D393" s="53" t="s">
        <v>3098</v>
      </c>
      <c r="E393" s="53" t="s">
        <v>2662</v>
      </c>
      <c r="F393" s="53" t="s">
        <v>2194</v>
      </c>
      <c r="H393" s="53" t="s">
        <v>2704</v>
      </c>
      <c r="I393" s="53" t="s">
        <v>830</v>
      </c>
    </row>
    <row r="394" customFormat="false" ht="11.25" hidden="false" customHeight="true" outlineLevel="0" collapsed="false">
      <c r="A394" s="53" t="s">
        <v>2190</v>
      </c>
      <c r="B394" s="53" t="s">
        <v>14</v>
      </c>
      <c r="C394" s="53" t="s">
        <v>3099</v>
      </c>
      <c r="D394" s="53" t="s">
        <v>3100</v>
      </c>
      <c r="E394" s="53" t="s">
        <v>2662</v>
      </c>
      <c r="F394" s="53" t="s">
        <v>3101</v>
      </c>
      <c r="I394" s="53" t="s">
        <v>830</v>
      </c>
    </row>
    <row r="395" customFormat="false" ht="11.25" hidden="false" customHeight="true" outlineLevel="0" collapsed="false">
      <c r="A395" s="53" t="s">
        <v>2190</v>
      </c>
      <c r="B395" s="53" t="s">
        <v>14</v>
      </c>
      <c r="C395" s="53" t="s">
        <v>3102</v>
      </c>
      <c r="D395" s="53" t="s">
        <v>3103</v>
      </c>
      <c r="E395" s="53" t="s">
        <v>3104</v>
      </c>
      <c r="F395" s="53" t="s">
        <v>2258</v>
      </c>
      <c r="I395" s="53" t="s">
        <v>830</v>
      </c>
    </row>
    <row r="396" customFormat="false" ht="11.25" hidden="false" customHeight="true" outlineLevel="0" collapsed="false">
      <c r="A396" s="53" t="s">
        <v>2190</v>
      </c>
      <c r="B396" s="53" t="s">
        <v>14</v>
      </c>
      <c r="C396" s="53" t="s">
        <v>2200</v>
      </c>
      <c r="D396" s="53" t="s">
        <v>2201</v>
      </c>
      <c r="E396" s="53" t="s">
        <v>2202</v>
      </c>
      <c r="F396" s="53" t="s">
        <v>2203</v>
      </c>
      <c r="G396" s="53" t="s">
        <v>2204</v>
      </c>
      <c r="I396" s="53" t="s">
        <v>789</v>
      </c>
    </row>
    <row r="397" customFormat="false" ht="11.25" hidden="false" customHeight="true" outlineLevel="0" collapsed="false">
      <c r="A397" s="53" t="s">
        <v>2190</v>
      </c>
      <c r="B397" s="53" t="s">
        <v>14</v>
      </c>
      <c r="C397" s="53" t="s">
        <v>2215</v>
      </c>
      <c r="D397" s="53" t="s">
        <v>2216</v>
      </c>
      <c r="E397" s="53" t="s">
        <v>2217</v>
      </c>
      <c r="F397" s="53" t="s">
        <v>2218</v>
      </c>
      <c r="I397" s="53" t="s">
        <v>789</v>
      </c>
    </row>
    <row r="398" customFormat="false" ht="11.25" hidden="false" customHeight="true" outlineLevel="0" collapsed="false">
      <c r="A398" s="53" t="s">
        <v>2190</v>
      </c>
      <c r="B398" s="53" t="s">
        <v>14</v>
      </c>
      <c r="C398" s="53" t="s">
        <v>2219</v>
      </c>
      <c r="D398" s="53" t="s">
        <v>2220</v>
      </c>
      <c r="E398" s="53" t="s">
        <v>2221</v>
      </c>
      <c r="F398" s="53" t="s">
        <v>2222</v>
      </c>
      <c r="I398" s="53" t="s">
        <v>789</v>
      </c>
    </row>
    <row r="399" customFormat="false" ht="11.25" hidden="false" customHeight="true" outlineLevel="0" collapsed="false">
      <c r="A399" s="53" t="s">
        <v>2190</v>
      </c>
      <c r="B399" s="53" t="s">
        <v>14</v>
      </c>
      <c r="C399" s="53" t="s">
        <v>3167</v>
      </c>
      <c r="D399" s="53" t="s">
        <v>3168</v>
      </c>
      <c r="E399" s="53" t="s">
        <v>3169</v>
      </c>
      <c r="F399" s="53" t="s">
        <v>2258</v>
      </c>
      <c r="I399" s="53" t="s">
        <v>789</v>
      </c>
    </row>
    <row r="400" customFormat="false" ht="11.25" hidden="false" customHeight="true" outlineLevel="0" collapsed="false">
      <c r="A400" s="53" t="s">
        <v>2190</v>
      </c>
      <c r="B400" s="53" t="s">
        <v>14</v>
      </c>
      <c r="C400" s="53" t="s">
        <v>2235</v>
      </c>
      <c r="D400" s="53" t="s">
        <v>2236</v>
      </c>
      <c r="E400" s="53" t="s">
        <v>2237</v>
      </c>
      <c r="F400" s="53" t="s">
        <v>2238</v>
      </c>
      <c r="I400" s="53" t="s">
        <v>789</v>
      </c>
    </row>
    <row r="401" customFormat="false" ht="11.25" hidden="false" customHeight="true" outlineLevel="0" collapsed="false">
      <c r="A401" s="53" t="s">
        <v>2190</v>
      </c>
      <c r="B401" s="53" t="s">
        <v>14</v>
      </c>
      <c r="C401" s="53" t="s">
        <v>2243</v>
      </c>
      <c r="D401" s="53" t="s">
        <v>2244</v>
      </c>
      <c r="E401" s="53" t="s">
        <v>2245</v>
      </c>
      <c r="F401" s="53" t="s">
        <v>2208</v>
      </c>
      <c r="I401" s="53" t="s">
        <v>789</v>
      </c>
    </row>
    <row r="402" customFormat="false" ht="11.25" hidden="false" customHeight="true" outlineLevel="0" collapsed="false">
      <c r="A402" s="53" t="s">
        <v>2190</v>
      </c>
      <c r="B402" s="53" t="s">
        <v>14</v>
      </c>
      <c r="C402" s="53" t="s">
        <v>2251</v>
      </c>
      <c r="D402" s="53" t="s">
        <v>2252</v>
      </c>
      <c r="E402" s="53" t="s">
        <v>2253</v>
      </c>
      <c r="F402" s="53" t="s">
        <v>2254</v>
      </c>
      <c r="I402" s="53" t="s">
        <v>789</v>
      </c>
    </row>
    <row r="403" customFormat="false" ht="11.25" hidden="false" customHeight="true" outlineLevel="0" collapsed="false">
      <c r="A403" s="53" t="s">
        <v>2190</v>
      </c>
      <c r="B403" s="53" t="s">
        <v>14</v>
      </c>
      <c r="C403" s="53" t="s">
        <v>3170</v>
      </c>
      <c r="D403" s="53" t="s">
        <v>3171</v>
      </c>
      <c r="E403" s="53" t="s">
        <v>3172</v>
      </c>
      <c r="F403" s="53" t="s">
        <v>2405</v>
      </c>
      <c r="I403" s="53" t="s">
        <v>789</v>
      </c>
    </row>
    <row r="404" customFormat="false" ht="11.25" hidden="false" customHeight="true" outlineLevel="0" collapsed="false">
      <c r="A404" s="53" t="s">
        <v>2190</v>
      </c>
      <c r="B404" s="53" t="s">
        <v>14</v>
      </c>
      <c r="C404" s="53" t="s">
        <v>2266</v>
      </c>
      <c r="D404" s="53" t="s">
        <v>2267</v>
      </c>
      <c r="E404" s="53" t="s">
        <v>2268</v>
      </c>
      <c r="F404" s="53" t="s">
        <v>2234</v>
      </c>
      <c r="G404" s="53" t="s">
        <v>2269</v>
      </c>
      <c r="I404" s="53" t="s">
        <v>789</v>
      </c>
    </row>
    <row r="405" customFormat="false" ht="11.25" hidden="false" customHeight="true" outlineLevel="0" collapsed="false">
      <c r="A405" s="53" t="s">
        <v>2190</v>
      </c>
      <c r="B405" s="53" t="s">
        <v>14</v>
      </c>
      <c r="C405" s="53" t="s">
        <v>2270</v>
      </c>
      <c r="D405" s="53" t="s">
        <v>2271</v>
      </c>
      <c r="E405" s="53" t="s">
        <v>2272</v>
      </c>
      <c r="F405" s="53" t="s">
        <v>2226</v>
      </c>
      <c r="I405" s="53" t="s">
        <v>789</v>
      </c>
    </row>
    <row r="406" customFormat="false" ht="11.25" hidden="false" customHeight="true" outlineLevel="0" collapsed="false">
      <c r="A406" s="53" t="s">
        <v>2190</v>
      </c>
      <c r="B406" s="53" t="s">
        <v>14</v>
      </c>
      <c r="C406" s="53" t="s">
        <v>3173</v>
      </c>
      <c r="D406" s="53" t="s">
        <v>3174</v>
      </c>
      <c r="E406" s="53" t="s">
        <v>2714</v>
      </c>
      <c r="F406" s="53" t="s">
        <v>2254</v>
      </c>
      <c r="I406" s="53" t="s">
        <v>789</v>
      </c>
    </row>
    <row r="407" customFormat="false" ht="11.25" hidden="false" customHeight="true" outlineLevel="0" collapsed="false">
      <c r="A407" s="53" t="s">
        <v>2190</v>
      </c>
      <c r="B407" s="53" t="s">
        <v>14</v>
      </c>
      <c r="C407" s="53" t="s">
        <v>3175</v>
      </c>
      <c r="D407" s="53" t="s">
        <v>3176</v>
      </c>
      <c r="E407" s="53" t="s">
        <v>3177</v>
      </c>
      <c r="F407" s="53" t="s">
        <v>2226</v>
      </c>
      <c r="I407" s="53" t="s">
        <v>789</v>
      </c>
    </row>
    <row r="408" customFormat="false" ht="11.25" hidden="false" customHeight="true" outlineLevel="0" collapsed="false">
      <c r="A408" s="53" t="s">
        <v>2190</v>
      </c>
      <c r="B408" s="53" t="s">
        <v>14</v>
      </c>
      <c r="C408" s="53" t="s">
        <v>2287</v>
      </c>
      <c r="D408" s="53" t="s">
        <v>2288</v>
      </c>
      <c r="E408" s="53" t="s">
        <v>2289</v>
      </c>
      <c r="F408" s="53" t="s">
        <v>2208</v>
      </c>
      <c r="I408" s="53" t="s">
        <v>789</v>
      </c>
    </row>
    <row r="409" customFormat="false" ht="11.25" hidden="false" customHeight="true" outlineLevel="0" collapsed="false">
      <c r="A409" s="53" t="s">
        <v>2190</v>
      </c>
      <c r="B409" s="53" t="s">
        <v>14</v>
      </c>
      <c r="C409" s="53" t="s">
        <v>3178</v>
      </c>
      <c r="D409" s="53" t="s">
        <v>3179</v>
      </c>
      <c r="E409" s="53" t="s">
        <v>3180</v>
      </c>
      <c r="F409" s="53" t="s">
        <v>2480</v>
      </c>
      <c r="G409" s="53" t="s">
        <v>3181</v>
      </c>
      <c r="H409" s="53" t="s">
        <v>3182</v>
      </c>
      <c r="I409" s="53" t="s">
        <v>789</v>
      </c>
    </row>
    <row r="410" customFormat="false" ht="11.25" hidden="false" customHeight="true" outlineLevel="0" collapsed="false">
      <c r="A410" s="53" t="s">
        <v>2190</v>
      </c>
      <c r="B410" s="53" t="s">
        <v>14</v>
      </c>
      <c r="C410" s="53" t="s">
        <v>2299</v>
      </c>
      <c r="D410" s="53" t="s">
        <v>2300</v>
      </c>
      <c r="E410" s="53" t="s">
        <v>2301</v>
      </c>
      <c r="F410" s="53" t="s">
        <v>2254</v>
      </c>
      <c r="I410" s="53" t="s">
        <v>789</v>
      </c>
    </row>
    <row r="411" customFormat="false" ht="11.25" hidden="false" customHeight="true" outlineLevel="0" collapsed="false">
      <c r="A411" s="53" t="s">
        <v>2190</v>
      </c>
      <c r="B411" s="53" t="s">
        <v>14</v>
      </c>
      <c r="C411" s="53" t="s">
        <v>2302</v>
      </c>
      <c r="D411" s="53" t="s">
        <v>2303</v>
      </c>
      <c r="E411" s="53" t="s">
        <v>2304</v>
      </c>
      <c r="F411" s="53" t="s">
        <v>48</v>
      </c>
      <c r="I411" s="53" t="s">
        <v>789</v>
      </c>
    </row>
    <row r="412" customFormat="false" ht="11.25" hidden="false" customHeight="true" outlineLevel="0" collapsed="false">
      <c r="A412" s="53" t="s">
        <v>2190</v>
      </c>
      <c r="B412" s="53" t="s">
        <v>14</v>
      </c>
      <c r="C412" s="53" t="s">
        <v>2305</v>
      </c>
      <c r="D412" s="53" t="s">
        <v>2306</v>
      </c>
      <c r="E412" s="53" t="s">
        <v>2307</v>
      </c>
      <c r="F412" s="53" t="s">
        <v>2258</v>
      </c>
      <c r="H412" s="53" t="s">
        <v>2308</v>
      </c>
      <c r="I412" s="53" t="s">
        <v>789</v>
      </c>
    </row>
    <row r="413" customFormat="false" ht="11.25" hidden="false" customHeight="true" outlineLevel="0" collapsed="false">
      <c r="A413" s="53" t="s">
        <v>2190</v>
      </c>
      <c r="B413" s="53" t="s">
        <v>14</v>
      </c>
      <c r="C413" s="53" t="s">
        <v>2373</v>
      </c>
      <c r="D413" s="53" t="s">
        <v>2374</v>
      </c>
      <c r="E413" s="53" t="s">
        <v>2375</v>
      </c>
      <c r="F413" s="53" t="s">
        <v>2208</v>
      </c>
      <c r="H413" s="53" t="s">
        <v>2376</v>
      </c>
      <c r="I413" s="53" t="s">
        <v>789</v>
      </c>
    </row>
    <row r="414" customFormat="false" ht="11.25" hidden="false" customHeight="true" outlineLevel="0" collapsed="false">
      <c r="A414" s="53" t="s">
        <v>2190</v>
      </c>
      <c r="B414" s="53" t="s">
        <v>14</v>
      </c>
      <c r="C414" s="53" t="s">
        <v>2386</v>
      </c>
      <c r="D414" s="53" t="s">
        <v>2387</v>
      </c>
      <c r="E414" s="53" t="s">
        <v>2388</v>
      </c>
      <c r="F414" s="53" t="s">
        <v>2389</v>
      </c>
      <c r="I414" s="53" t="s">
        <v>789</v>
      </c>
    </row>
    <row r="415" customFormat="false" ht="11.25" hidden="false" customHeight="true" outlineLevel="0" collapsed="false">
      <c r="A415" s="53" t="s">
        <v>2190</v>
      </c>
      <c r="B415" s="53" t="s">
        <v>14</v>
      </c>
      <c r="C415" s="53" t="s">
        <v>3183</v>
      </c>
      <c r="D415" s="53" t="s">
        <v>3184</v>
      </c>
      <c r="E415" s="53" t="s">
        <v>3185</v>
      </c>
      <c r="F415" s="53" t="s">
        <v>2222</v>
      </c>
      <c r="I415" s="53" t="s">
        <v>789</v>
      </c>
    </row>
    <row r="416" customFormat="false" ht="11.25" hidden="false" customHeight="true" outlineLevel="0" collapsed="false">
      <c r="A416" s="53" t="s">
        <v>2190</v>
      </c>
      <c r="B416" s="53" t="s">
        <v>14</v>
      </c>
      <c r="C416" s="53" t="s">
        <v>2406</v>
      </c>
      <c r="D416" s="53" t="s">
        <v>2407</v>
      </c>
      <c r="E416" s="53" t="s">
        <v>2408</v>
      </c>
      <c r="F416" s="53" t="s">
        <v>2409</v>
      </c>
      <c r="I416" s="53" t="s">
        <v>789</v>
      </c>
    </row>
    <row r="417" customFormat="false" ht="11.25" hidden="false" customHeight="true" outlineLevel="0" collapsed="false">
      <c r="A417" s="53" t="s">
        <v>2190</v>
      </c>
      <c r="B417" s="53" t="s">
        <v>14</v>
      </c>
      <c r="C417" s="53" t="s">
        <v>2421</v>
      </c>
      <c r="D417" s="53" t="s">
        <v>2422</v>
      </c>
      <c r="E417" s="53" t="s">
        <v>2423</v>
      </c>
      <c r="F417" s="53" t="s">
        <v>2254</v>
      </c>
      <c r="I417" s="53" t="s">
        <v>789</v>
      </c>
    </row>
    <row r="418" customFormat="false" ht="11.25" hidden="false" customHeight="true" outlineLevel="0" collapsed="false">
      <c r="A418" s="53" t="s">
        <v>2190</v>
      </c>
      <c r="B418" s="53" t="s">
        <v>14</v>
      </c>
      <c r="C418" s="53" t="s">
        <v>2433</v>
      </c>
      <c r="D418" s="53" t="s">
        <v>2434</v>
      </c>
      <c r="E418" s="53" t="s">
        <v>2435</v>
      </c>
      <c r="F418" s="53" t="s">
        <v>48</v>
      </c>
      <c r="H418" s="53" t="s">
        <v>2214</v>
      </c>
      <c r="I418" s="53" t="s">
        <v>789</v>
      </c>
    </row>
    <row r="419" customFormat="false" ht="11.25" hidden="false" customHeight="true" outlineLevel="0" collapsed="false">
      <c r="A419" s="53" t="s">
        <v>2190</v>
      </c>
      <c r="B419" s="53" t="s">
        <v>14</v>
      </c>
      <c r="C419" s="53" t="s">
        <v>2436</v>
      </c>
      <c r="D419" s="53" t="s">
        <v>2437</v>
      </c>
      <c r="E419" s="53" t="s">
        <v>2438</v>
      </c>
      <c r="F419" s="53" t="s">
        <v>48</v>
      </c>
      <c r="I419" s="53" t="s">
        <v>789</v>
      </c>
    </row>
    <row r="420" customFormat="false" ht="11.25" hidden="false" customHeight="true" outlineLevel="0" collapsed="false">
      <c r="A420" s="53" t="s">
        <v>2190</v>
      </c>
      <c r="B420" s="53" t="s">
        <v>14</v>
      </c>
      <c r="C420" s="53" t="s">
        <v>3186</v>
      </c>
      <c r="D420" s="53" t="s">
        <v>3187</v>
      </c>
      <c r="E420" s="53" t="s">
        <v>3188</v>
      </c>
      <c r="F420" s="53" t="s">
        <v>596</v>
      </c>
      <c r="H420" s="53" t="s">
        <v>3189</v>
      </c>
      <c r="I420" s="53" t="s">
        <v>789</v>
      </c>
    </row>
    <row r="421" customFormat="false" ht="11.25" hidden="false" customHeight="true" outlineLevel="0" collapsed="false">
      <c r="A421" s="53" t="s">
        <v>2190</v>
      </c>
      <c r="B421" s="53" t="s">
        <v>14</v>
      </c>
      <c r="C421" s="53" t="s">
        <v>2439</v>
      </c>
      <c r="D421" s="53" t="s">
        <v>2440</v>
      </c>
      <c r="E421" s="53" t="s">
        <v>2441</v>
      </c>
      <c r="F421" s="53" t="s">
        <v>2442</v>
      </c>
      <c r="I421" s="53" t="s">
        <v>789</v>
      </c>
    </row>
    <row r="422" customFormat="false" ht="11.25" hidden="false" customHeight="true" outlineLevel="0" collapsed="false">
      <c r="A422" s="53" t="s">
        <v>2190</v>
      </c>
      <c r="B422" s="53" t="s">
        <v>14</v>
      </c>
      <c r="C422" s="53" t="s">
        <v>3190</v>
      </c>
      <c r="D422" s="53" t="s">
        <v>3191</v>
      </c>
      <c r="E422" s="53" t="s">
        <v>3192</v>
      </c>
      <c r="F422" s="53" t="s">
        <v>2427</v>
      </c>
      <c r="H422" s="53" t="s">
        <v>3193</v>
      </c>
      <c r="I422" s="53" t="s">
        <v>789</v>
      </c>
    </row>
    <row r="423" customFormat="false" ht="11.25" hidden="false" customHeight="true" outlineLevel="0" collapsed="false">
      <c r="A423" s="53" t="s">
        <v>2190</v>
      </c>
      <c r="B423" s="53" t="s">
        <v>14</v>
      </c>
      <c r="C423" s="53" t="s">
        <v>2448</v>
      </c>
      <c r="D423" s="53" t="s">
        <v>2449</v>
      </c>
      <c r="E423" s="53" t="s">
        <v>2450</v>
      </c>
      <c r="F423" s="53" t="s">
        <v>2254</v>
      </c>
      <c r="G423" s="53" t="s">
        <v>2451</v>
      </c>
      <c r="H423" s="53" t="s">
        <v>2452</v>
      </c>
      <c r="I423" s="53" t="s">
        <v>789</v>
      </c>
    </row>
    <row r="424" customFormat="false" ht="11.25" hidden="false" customHeight="true" outlineLevel="0" collapsed="false">
      <c r="A424" s="53" t="s">
        <v>2190</v>
      </c>
      <c r="B424" s="53" t="s">
        <v>14</v>
      </c>
      <c r="D424" s="53" t="s">
        <v>2453</v>
      </c>
      <c r="E424" s="53" t="s">
        <v>2454</v>
      </c>
      <c r="F424" s="53" t="s">
        <v>2258</v>
      </c>
      <c r="I424" s="53" t="s">
        <v>789</v>
      </c>
    </row>
    <row r="425" customFormat="false" ht="11.25" hidden="false" customHeight="true" outlineLevel="0" collapsed="false">
      <c r="A425" s="53" t="s">
        <v>2190</v>
      </c>
      <c r="B425" s="53" t="s">
        <v>14</v>
      </c>
      <c r="C425" s="53" t="s">
        <v>3194</v>
      </c>
      <c r="D425" s="53" t="s">
        <v>3195</v>
      </c>
      <c r="E425" s="53" t="s">
        <v>3196</v>
      </c>
      <c r="F425" s="53" t="s">
        <v>3197</v>
      </c>
      <c r="H425" s="53" t="s">
        <v>2697</v>
      </c>
      <c r="I425" s="53" t="s">
        <v>789</v>
      </c>
    </row>
    <row r="426" customFormat="false" ht="11.25" hidden="false" customHeight="true" outlineLevel="0" collapsed="false">
      <c r="A426" s="53" t="s">
        <v>2190</v>
      </c>
      <c r="B426" s="53" t="s">
        <v>14</v>
      </c>
      <c r="C426" s="53" t="s">
        <v>3198</v>
      </c>
      <c r="D426" s="53" t="s">
        <v>3199</v>
      </c>
      <c r="E426" s="53" t="s">
        <v>3200</v>
      </c>
      <c r="F426" s="53" t="s">
        <v>2409</v>
      </c>
      <c r="G426" s="53" t="s">
        <v>3201</v>
      </c>
      <c r="I426" s="53" t="s">
        <v>789</v>
      </c>
    </row>
    <row r="427" customFormat="false" ht="11.25" hidden="false" customHeight="true" outlineLevel="0" collapsed="false">
      <c r="A427" s="53" t="s">
        <v>2190</v>
      </c>
      <c r="B427" s="53" t="s">
        <v>14</v>
      </c>
      <c r="C427" s="53" t="s">
        <v>3202</v>
      </c>
      <c r="D427" s="53" t="s">
        <v>3203</v>
      </c>
      <c r="E427" s="53" t="s">
        <v>3204</v>
      </c>
      <c r="F427" s="53" t="s">
        <v>2405</v>
      </c>
      <c r="H427" s="53" t="s">
        <v>3205</v>
      </c>
      <c r="I427" s="53" t="s">
        <v>789</v>
      </c>
    </row>
    <row r="428" customFormat="false" ht="11.25" hidden="false" customHeight="true" outlineLevel="0" collapsed="false">
      <c r="A428" s="53" t="s">
        <v>2190</v>
      </c>
      <c r="B428" s="53" t="s">
        <v>14</v>
      </c>
      <c r="C428" s="53" t="s">
        <v>3206</v>
      </c>
      <c r="D428" s="53" t="s">
        <v>3207</v>
      </c>
      <c r="E428" s="53" t="s">
        <v>3208</v>
      </c>
      <c r="F428" s="53" t="s">
        <v>2262</v>
      </c>
      <c r="H428" s="53" t="s">
        <v>2452</v>
      </c>
      <c r="I428" s="53" t="s">
        <v>789</v>
      </c>
    </row>
    <row r="429" customFormat="false" ht="11.25" hidden="false" customHeight="true" outlineLevel="0" collapsed="false">
      <c r="A429" s="53" t="s">
        <v>2190</v>
      </c>
      <c r="B429" s="53" t="s">
        <v>14</v>
      </c>
      <c r="C429" s="53" t="s">
        <v>3209</v>
      </c>
      <c r="D429" s="53" t="s">
        <v>3207</v>
      </c>
      <c r="E429" s="53" t="s">
        <v>3210</v>
      </c>
      <c r="F429" s="53" t="s">
        <v>2427</v>
      </c>
      <c r="H429" s="53" t="s">
        <v>2844</v>
      </c>
      <c r="I429" s="53" t="s">
        <v>789</v>
      </c>
    </row>
    <row r="430" customFormat="false" ht="11.25" hidden="false" customHeight="true" outlineLevel="0" collapsed="false">
      <c r="A430" s="53" t="s">
        <v>2190</v>
      </c>
      <c r="B430" s="53" t="s">
        <v>14</v>
      </c>
      <c r="C430" s="53" t="s">
        <v>3211</v>
      </c>
      <c r="D430" s="53" t="s">
        <v>3212</v>
      </c>
      <c r="E430" s="53" t="s">
        <v>3213</v>
      </c>
      <c r="F430" s="53" t="s">
        <v>2405</v>
      </c>
      <c r="I430" s="53" t="s">
        <v>789</v>
      </c>
    </row>
    <row r="431" customFormat="false" ht="11.25" hidden="false" customHeight="true" outlineLevel="0" collapsed="false">
      <c r="A431" s="53" t="s">
        <v>2190</v>
      </c>
      <c r="B431" s="53" t="s">
        <v>14</v>
      </c>
      <c r="C431" s="53" t="s">
        <v>2462</v>
      </c>
      <c r="D431" s="53" t="s">
        <v>2463</v>
      </c>
      <c r="E431" s="53" t="s">
        <v>2464</v>
      </c>
      <c r="F431" s="53" t="s">
        <v>2254</v>
      </c>
      <c r="H431" s="53" t="s">
        <v>2452</v>
      </c>
      <c r="I431" s="53" t="s">
        <v>789</v>
      </c>
    </row>
    <row r="432" customFormat="false" ht="11.25" hidden="false" customHeight="true" outlineLevel="0" collapsed="false">
      <c r="A432" s="53" t="s">
        <v>2190</v>
      </c>
      <c r="B432" s="53" t="s">
        <v>14</v>
      </c>
      <c r="C432" s="53" t="s">
        <v>3214</v>
      </c>
      <c r="D432" s="53" t="s">
        <v>3215</v>
      </c>
      <c r="E432" s="53" t="s">
        <v>3216</v>
      </c>
      <c r="F432" s="53" t="s">
        <v>2230</v>
      </c>
      <c r="I432" s="53" t="s">
        <v>789</v>
      </c>
    </row>
    <row r="433" customFormat="false" ht="11.25" hidden="false" customHeight="true" outlineLevel="0" collapsed="false">
      <c r="A433" s="53" t="s">
        <v>2190</v>
      </c>
      <c r="B433" s="53" t="s">
        <v>14</v>
      </c>
      <c r="C433" s="53" t="s">
        <v>3217</v>
      </c>
      <c r="D433" s="53" t="s">
        <v>3218</v>
      </c>
      <c r="E433" s="53" t="s">
        <v>3219</v>
      </c>
      <c r="F433" s="53" t="s">
        <v>2427</v>
      </c>
      <c r="H433" s="53" t="s">
        <v>2697</v>
      </c>
      <c r="I433" s="53" t="s">
        <v>789</v>
      </c>
    </row>
    <row r="434" customFormat="false" ht="11.25" hidden="false" customHeight="true" outlineLevel="0" collapsed="false">
      <c r="A434" s="53" t="s">
        <v>2190</v>
      </c>
      <c r="B434" s="53" t="s">
        <v>14</v>
      </c>
      <c r="C434" s="53" t="s">
        <v>2465</v>
      </c>
      <c r="D434" s="53" t="s">
        <v>2466</v>
      </c>
      <c r="E434" s="53" t="s">
        <v>2467</v>
      </c>
      <c r="F434" s="53" t="s">
        <v>2468</v>
      </c>
      <c r="I434" s="53" t="s">
        <v>789</v>
      </c>
    </row>
    <row r="435" customFormat="false" ht="11.25" hidden="false" customHeight="true" outlineLevel="0" collapsed="false">
      <c r="A435" s="53" t="s">
        <v>2190</v>
      </c>
      <c r="B435" s="53" t="s">
        <v>14</v>
      </c>
      <c r="C435" s="53" t="s">
        <v>2469</v>
      </c>
      <c r="D435" s="53" t="s">
        <v>2470</v>
      </c>
      <c r="E435" s="53" t="s">
        <v>2471</v>
      </c>
      <c r="F435" s="53" t="s">
        <v>2472</v>
      </c>
      <c r="I435" s="53" t="s">
        <v>789</v>
      </c>
    </row>
    <row r="436" customFormat="false" ht="11.25" hidden="false" customHeight="true" outlineLevel="0" collapsed="false">
      <c r="A436" s="53" t="s">
        <v>2190</v>
      </c>
      <c r="B436" s="53" t="s">
        <v>14</v>
      </c>
      <c r="C436" s="53" t="s">
        <v>3220</v>
      </c>
      <c r="D436" s="53" t="s">
        <v>3221</v>
      </c>
      <c r="E436" s="53" t="s">
        <v>3222</v>
      </c>
      <c r="F436" s="53" t="s">
        <v>2230</v>
      </c>
      <c r="G436" s="53" t="s">
        <v>3223</v>
      </c>
      <c r="I436" s="53" t="s">
        <v>789</v>
      </c>
    </row>
    <row r="437" customFormat="false" ht="11.25" hidden="false" customHeight="true" outlineLevel="0" collapsed="false">
      <c r="A437" s="53" t="s">
        <v>2190</v>
      </c>
      <c r="B437" s="53" t="s">
        <v>14</v>
      </c>
      <c r="C437" s="53" t="s">
        <v>3224</v>
      </c>
      <c r="D437" s="53" t="s">
        <v>3225</v>
      </c>
      <c r="E437" s="53" t="s">
        <v>3226</v>
      </c>
      <c r="F437" s="53" t="s">
        <v>2409</v>
      </c>
      <c r="G437" s="53" t="s">
        <v>3227</v>
      </c>
      <c r="I437" s="53" t="s">
        <v>789</v>
      </c>
    </row>
    <row r="438" customFormat="false" ht="11.25" hidden="false" customHeight="true" outlineLevel="0" collapsed="false">
      <c r="A438" s="53" t="s">
        <v>2190</v>
      </c>
      <c r="B438" s="53" t="s">
        <v>14</v>
      </c>
      <c r="C438" s="53" t="s">
        <v>3228</v>
      </c>
      <c r="D438" s="53" t="s">
        <v>3229</v>
      </c>
      <c r="E438" s="53" t="s">
        <v>3230</v>
      </c>
      <c r="F438" s="53" t="s">
        <v>2208</v>
      </c>
      <c r="H438" s="53" t="s">
        <v>3231</v>
      </c>
      <c r="I438" s="53" t="s">
        <v>789</v>
      </c>
    </row>
    <row r="439" customFormat="false" ht="11.25" hidden="false" customHeight="true" outlineLevel="0" collapsed="false">
      <c r="A439" s="53" t="s">
        <v>2190</v>
      </c>
      <c r="B439" s="53" t="s">
        <v>14</v>
      </c>
      <c r="C439" s="53" t="s">
        <v>2477</v>
      </c>
      <c r="D439" s="53" t="s">
        <v>2478</v>
      </c>
      <c r="E439" s="53" t="s">
        <v>2479</v>
      </c>
      <c r="F439" s="53" t="s">
        <v>2480</v>
      </c>
      <c r="I439" s="53" t="s">
        <v>789</v>
      </c>
    </row>
    <row r="440" customFormat="false" ht="11.25" hidden="false" customHeight="true" outlineLevel="0" collapsed="false">
      <c r="A440" s="53" t="s">
        <v>2190</v>
      </c>
      <c r="B440" s="53" t="s">
        <v>14</v>
      </c>
      <c r="C440" s="53" t="s">
        <v>2495</v>
      </c>
      <c r="D440" s="53" t="s">
        <v>2496</v>
      </c>
      <c r="E440" s="53" t="s">
        <v>2497</v>
      </c>
      <c r="F440" s="53" t="s">
        <v>2258</v>
      </c>
      <c r="H440" s="53" t="s">
        <v>2498</v>
      </c>
      <c r="I440" s="53" t="s">
        <v>789</v>
      </c>
    </row>
    <row r="441" customFormat="false" ht="11.25" hidden="false" customHeight="true" outlineLevel="0" collapsed="false">
      <c r="A441" s="53" t="s">
        <v>2190</v>
      </c>
      <c r="B441" s="53" t="s">
        <v>14</v>
      </c>
      <c r="C441" s="53" t="s">
        <v>3232</v>
      </c>
      <c r="D441" s="53" t="s">
        <v>3233</v>
      </c>
      <c r="E441" s="53" t="s">
        <v>3234</v>
      </c>
      <c r="F441" s="53" t="s">
        <v>2230</v>
      </c>
      <c r="I441" s="53" t="s">
        <v>789</v>
      </c>
    </row>
    <row r="442" customFormat="false" ht="11.25" hidden="false" customHeight="true" outlineLevel="0" collapsed="false">
      <c r="A442" s="53" t="s">
        <v>2190</v>
      </c>
      <c r="B442" s="53" t="s">
        <v>14</v>
      </c>
      <c r="C442" s="53" t="s">
        <v>2499</v>
      </c>
      <c r="D442" s="53" t="s">
        <v>2500</v>
      </c>
      <c r="E442" s="53" t="s">
        <v>2501</v>
      </c>
      <c r="F442" s="53" t="s">
        <v>2230</v>
      </c>
      <c r="I442" s="53" t="s">
        <v>789</v>
      </c>
    </row>
    <row r="443" customFormat="false" ht="11.25" hidden="false" customHeight="true" outlineLevel="0" collapsed="false">
      <c r="A443" s="53" t="s">
        <v>2190</v>
      </c>
      <c r="B443" s="53" t="s">
        <v>14</v>
      </c>
      <c r="C443" s="53" t="s">
        <v>2512</v>
      </c>
      <c r="D443" s="53" t="s">
        <v>2513</v>
      </c>
      <c r="E443" s="53" t="s">
        <v>2514</v>
      </c>
      <c r="F443" s="53" t="s">
        <v>2427</v>
      </c>
      <c r="H443" s="53" t="s">
        <v>2398</v>
      </c>
      <c r="I443" s="53" t="s">
        <v>789</v>
      </c>
    </row>
    <row r="444" customFormat="false" ht="11.25" hidden="false" customHeight="true" outlineLevel="0" collapsed="false">
      <c r="A444" s="53" t="s">
        <v>2190</v>
      </c>
      <c r="B444" s="53" t="s">
        <v>14</v>
      </c>
      <c r="C444" s="53" t="s">
        <v>2519</v>
      </c>
      <c r="D444" s="53" t="s">
        <v>2513</v>
      </c>
      <c r="E444" s="53" t="s">
        <v>2520</v>
      </c>
      <c r="F444" s="53" t="s">
        <v>2521</v>
      </c>
      <c r="H444" s="53" t="s">
        <v>2522</v>
      </c>
      <c r="I444" s="53" t="s">
        <v>789</v>
      </c>
    </row>
    <row r="445" customFormat="false" ht="11.25" hidden="false" customHeight="true" outlineLevel="0" collapsed="false">
      <c r="A445" s="53" t="s">
        <v>2190</v>
      </c>
      <c r="B445" s="53" t="s">
        <v>14</v>
      </c>
      <c r="C445" s="53" t="s">
        <v>2529</v>
      </c>
      <c r="D445" s="53" t="s">
        <v>2530</v>
      </c>
      <c r="E445" s="53" t="s">
        <v>2531</v>
      </c>
      <c r="F445" s="53" t="s">
        <v>2405</v>
      </c>
      <c r="I445" s="53" t="s">
        <v>789</v>
      </c>
    </row>
    <row r="446" customFormat="false" ht="11.25" hidden="false" customHeight="true" outlineLevel="0" collapsed="false">
      <c r="A446" s="53" t="s">
        <v>2190</v>
      </c>
      <c r="B446" s="53" t="s">
        <v>14</v>
      </c>
      <c r="C446" s="53" t="s">
        <v>2536</v>
      </c>
      <c r="D446" s="53" t="s">
        <v>2537</v>
      </c>
      <c r="E446" s="53" t="s">
        <v>2538</v>
      </c>
      <c r="F446" s="53" t="s">
        <v>2427</v>
      </c>
      <c r="I446" s="53" t="s">
        <v>789</v>
      </c>
    </row>
    <row r="447" customFormat="false" ht="11.25" hidden="false" customHeight="true" outlineLevel="0" collapsed="false">
      <c r="A447" s="53" t="s">
        <v>2190</v>
      </c>
      <c r="B447" s="53" t="s">
        <v>14</v>
      </c>
      <c r="C447" s="53" t="s">
        <v>2543</v>
      </c>
      <c r="D447" s="53" t="s">
        <v>2544</v>
      </c>
      <c r="E447" s="53" t="s">
        <v>2545</v>
      </c>
      <c r="F447" s="53" t="s">
        <v>2546</v>
      </c>
      <c r="H447" s="53" t="s">
        <v>2547</v>
      </c>
      <c r="I447" s="53" t="s">
        <v>789</v>
      </c>
    </row>
    <row r="448" customFormat="false" ht="11.25" hidden="false" customHeight="true" outlineLevel="0" collapsed="false">
      <c r="A448" s="53" t="s">
        <v>2190</v>
      </c>
      <c r="B448" s="53" t="s">
        <v>14</v>
      </c>
      <c r="C448" s="53" t="s">
        <v>2548</v>
      </c>
      <c r="D448" s="53" t="s">
        <v>2544</v>
      </c>
      <c r="E448" s="53" t="s">
        <v>2545</v>
      </c>
      <c r="F448" s="53" t="s">
        <v>2546</v>
      </c>
      <c r="I448" s="53" t="s">
        <v>789</v>
      </c>
    </row>
    <row r="449" customFormat="false" ht="11.25" hidden="false" customHeight="true" outlineLevel="0" collapsed="false">
      <c r="A449" s="53" t="s">
        <v>2190</v>
      </c>
      <c r="B449" s="53" t="s">
        <v>14</v>
      </c>
      <c r="C449" s="53" t="s">
        <v>2556</v>
      </c>
      <c r="D449" s="53" t="s">
        <v>2557</v>
      </c>
      <c r="E449" s="53" t="s">
        <v>2558</v>
      </c>
      <c r="F449" s="53" t="s">
        <v>2472</v>
      </c>
      <c r="H449" s="53" t="s">
        <v>2559</v>
      </c>
      <c r="I449" s="53" t="s">
        <v>789</v>
      </c>
    </row>
    <row r="450" customFormat="false" ht="11.25" hidden="false" customHeight="true" outlineLevel="0" collapsed="false">
      <c r="A450" s="53" t="s">
        <v>2190</v>
      </c>
      <c r="B450" s="53" t="s">
        <v>14</v>
      </c>
      <c r="C450" s="53" t="s">
        <v>2560</v>
      </c>
      <c r="D450" s="53" t="s">
        <v>2561</v>
      </c>
      <c r="E450" s="53" t="s">
        <v>2562</v>
      </c>
      <c r="F450" s="53" t="s">
        <v>2405</v>
      </c>
      <c r="I450" s="53" t="s">
        <v>789</v>
      </c>
    </row>
    <row r="451" customFormat="false" ht="11.25" hidden="false" customHeight="true" outlineLevel="0" collapsed="false">
      <c r="A451" s="53" t="s">
        <v>2190</v>
      </c>
      <c r="B451" s="53" t="s">
        <v>14</v>
      </c>
      <c r="C451" s="53" t="s">
        <v>2563</v>
      </c>
      <c r="D451" s="53" t="s">
        <v>2564</v>
      </c>
      <c r="E451" s="53" t="s">
        <v>2565</v>
      </c>
      <c r="F451" s="53" t="s">
        <v>2405</v>
      </c>
      <c r="H451" s="53" t="s">
        <v>2566</v>
      </c>
      <c r="I451" s="53" t="s">
        <v>789</v>
      </c>
    </row>
    <row r="452" customFormat="false" ht="11.25" hidden="false" customHeight="true" outlineLevel="0" collapsed="false">
      <c r="A452" s="53" t="s">
        <v>2190</v>
      </c>
      <c r="B452" s="53" t="s">
        <v>14</v>
      </c>
      <c r="C452" s="53" t="s">
        <v>2567</v>
      </c>
      <c r="D452" s="53" t="s">
        <v>2568</v>
      </c>
      <c r="E452" s="53" t="s">
        <v>2569</v>
      </c>
      <c r="F452" s="53" t="s">
        <v>2405</v>
      </c>
      <c r="H452" s="53" t="s">
        <v>2570</v>
      </c>
      <c r="I452" s="53" t="s">
        <v>789</v>
      </c>
    </row>
    <row r="453" customFormat="false" ht="11.25" hidden="false" customHeight="true" outlineLevel="0" collapsed="false">
      <c r="A453" s="53" t="s">
        <v>2190</v>
      </c>
      <c r="B453" s="53" t="s">
        <v>14</v>
      </c>
      <c r="C453" s="53" t="s">
        <v>2586</v>
      </c>
      <c r="D453" s="53" t="s">
        <v>2587</v>
      </c>
      <c r="E453" s="53" t="s">
        <v>2588</v>
      </c>
      <c r="F453" s="53" t="s">
        <v>2254</v>
      </c>
      <c r="I453" s="53" t="s">
        <v>789</v>
      </c>
    </row>
    <row r="454" customFormat="false" ht="11.25" hidden="false" customHeight="true" outlineLevel="0" collapsed="false">
      <c r="A454" s="53" t="s">
        <v>2190</v>
      </c>
      <c r="B454" s="53" t="s">
        <v>14</v>
      </c>
      <c r="C454" s="53" t="s">
        <v>2589</v>
      </c>
      <c r="D454" s="53" t="s">
        <v>2590</v>
      </c>
      <c r="E454" s="53" t="s">
        <v>2591</v>
      </c>
      <c r="F454" s="53" t="s">
        <v>2254</v>
      </c>
      <c r="I454" s="53" t="s">
        <v>789</v>
      </c>
    </row>
    <row r="455" customFormat="false" ht="11.25" hidden="false" customHeight="true" outlineLevel="0" collapsed="false">
      <c r="A455" s="53" t="s">
        <v>2190</v>
      </c>
      <c r="B455" s="53" t="s">
        <v>14</v>
      </c>
      <c r="C455" s="53" t="s">
        <v>2592</v>
      </c>
      <c r="D455" s="53" t="s">
        <v>2593</v>
      </c>
      <c r="E455" s="53" t="s">
        <v>2594</v>
      </c>
      <c r="F455" s="53" t="s">
        <v>2262</v>
      </c>
      <c r="H455" s="53" t="s">
        <v>2498</v>
      </c>
      <c r="I455" s="53" t="s">
        <v>789</v>
      </c>
    </row>
    <row r="456" customFormat="false" ht="11.25" hidden="false" customHeight="true" outlineLevel="0" collapsed="false">
      <c r="A456" s="53" t="s">
        <v>2190</v>
      </c>
      <c r="B456" s="53" t="s">
        <v>14</v>
      </c>
      <c r="C456" s="53" t="s">
        <v>2599</v>
      </c>
      <c r="D456" s="53" t="s">
        <v>2600</v>
      </c>
      <c r="E456" s="53" t="s">
        <v>2601</v>
      </c>
      <c r="F456" s="53" t="s">
        <v>2262</v>
      </c>
      <c r="I456" s="53" t="s">
        <v>789</v>
      </c>
    </row>
    <row r="457" customFormat="false" ht="11.25" hidden="false" customHeight="true" outlineLevel="0" collapsed="false">
      <c r="A457" s="53" t="s">
        <v>2190</v>
      </c>
      <c r="B457" s="53" t="s">
        <v>14</v>
      </c>
      <c r="C457" s="53" t="s">
        <v>2602</v>
      </c>
      <c r="D457" s="53" t="s">
        <v>2603</v>
      </c>
      <c r="E457" s="53" t="s">
        <v>2604</v>
      </c>
      <c r="F457" s="53" t="s">
        <v>2262</v>
      </c>
      <c r="H457" s="53" t="s">
        <v>2498</v>
      </c>
      <c r="I457" s="53" t="s">
        <v>789</v>
      </c>
    </row>
    <row r="458" customFormat="false" ht="11.25" hidden="false" customHeight="true" outlineLevel="0" collapsed="false">
      <c r="A458" s="53" t="s">
        <v>2190</v>
      </c>
      <c r="B458" s="53" t="s">
        <v>14</v>
      </c>
      <c r="C458" s="53" t="s">
        <v>3235</v>
      </c>
      <c r="D458" s="53" t="s">
        <v>3236</v>
      </c>
      <c r="E458" s="53" t="s">
        <v>3237</v>
      </c>
      <c r="F458" s="53" t="s">
        <v>2226</v>
      </c>
      <c r="G458" s="53" t="s">
        <v>3238</v>
      </c>
      <c r="H458" s="53" t="s">
        <v>3239</v>
      </c>
      <c r="I458" s="53" t="s">
        <v>789</v>
      </c>
    </row>
    <row r="459" customFormat="false" ht="11.25" hidden="false" customHeight="true" outlineLevel="0" collapsed="false">
      <c r="A459" s="53" t="s">
        <v>2190</v>
      </c>
      <c r="B459" s="53" t="s">
        <v>14</v>
      </c>
      <c r="C459" s="53" t="s">
        <v>3240</v>
      </c>
      <c r="D459" s="53" t="s">
        <v>3241</v>
      </c>
      <c r="E459" s="53" t="s">
        <v>3242</v>
      </c>
      <c r="F459" s="53" t="s">
        <v>2230</v>
      </c>
      <c r="H459" s="53" t="s">
        <v>3243</v>
      </c>
      <c r="I459" s="53" t="s">
        <v>789</v>
      </c>
    </row>
    <row r="460" customFormat="false" ht="11.25" hidden="false" customHeight="true" outlineLevel="0" collapsed="false">
      <c r="A460" s="53" t="s">
        <v>2190</v>
      </c>
      <c r="B460" s="53" t="s">
        <v>14</v>
      </c>
      <c r="C460" s="53" t="s">
        <v>2629</v>
      </c>
      <c r="D460" s="53" t="s">
        <v>2630</v>
      </c>
      <c r="E460" s="53" t="s">
        <v>2631</v>
      </c>
      <c r="F460" s="53" t="s">
        <v>2409</v>
      </c>
      <c r="I460" s="53" t="s">
        <v>789</v>
      </c>
    </row>
    <row r="461" customFormat="false" ht="11.25" hidden="false" customHeight="true" outlineLevel="0" collapsed="false">
      <c r="A461" s="53" t="s">
        <v>2190</v>
      </c>
      <c r="B461" s="53" t="s">
        <v>14</v>
      </c>
      <c r="C461" s="53" t="s">
        <v>3244</v>
      </c>
      <c r="D461" s="53" t="s">
        <v>3245</v>
      </c>
      <c r="E461" s="53" t="s">
        <v>3246</v>
      </c>
      <c r="F461" s="53" t="s">
        <v>2222</v>
      </c>
      <c r="G461" s="53" t="s">
        <v>3247</v>
      </c>
      <c r="H461" s="53" t="s">
        <v>3248</v>
      </c>
      <c r="I461" s="53" t="s">
        <v>789</v>
      </c>
    </row>
    <row r="462" customFormat="false" ht="11.25" hidden="false" customHeight="true" outlineLevel="0" collapsed="false">
      <c r="A462" s="53" t="s">
        <v>2190</v>
      </c>
      <c r="B462" s="53" t="s">
        <v>14</v>
      </c>
      <c r="C462" s="53" t="s">
        <v>2635</v>
      </c>
      <c r="D462" s="53" t="s">
        <v>2636</v>
      </c>
      <c r="E462" s="53" t="s">
        <v>2637</v>
      </c>
      <c r="F462" s="53" t="s">
        <v>2226</v>
      </c>
      <c r="I462" s="53" t="s">
        <v>789</v>
      </c>
    </row>
    <row r="463" customFormat="false" ht="11.25" hidden="false" customHeight="true" outlineLevel="0" collapsed="false">
      <c r="A463" s="53" t="s">
        <v>2190</v>
      </c>
      <c r="B463" s="53" t="s">
        <v>14</v>
      </c>
      <c r="C463" s="53" t="s">
        <v>2638</v>
      </c>
      <c r="D463" s="53" t="s">
        <v>2639</v>
      </c>
      <c r="E463" s="53" t="s">
        <v>2640</v>
      </c>
      <c r="F463" s="53" t="s">
        <v>2409</v>
      </c>
      <c r="H463" s="53" t="s">
        <v>2298</v>
      </c>
      <c r="I463" s="53" t="s">
        <v>789</v>
      </c>
    </row>
    <row r="464" customFormat="false" ht="11.25" hidden="false" customHeight="true" outlineLevel="0" collapsed="false">
      <c r="A464" s="53" t="s">
        <v>2190</v>
      </c>
      <c r="B464" s="53" t="s">
        <v>14</v>
      </c>
      <c r="C464" s="53" t="s">
        <v>3249</v>
      </c>
      <c r="D464" s="53" t="s">
        <v>3250</v>
      </c>
      <c r="E464" s="53" t="s">
        <v>3251</v>
      </c>
      <c r="F464" s="53" t="s">
        <v>2405</v>
      </c>
      <c r="I464" s="53" t="s">
        <v>789</v>
      </c>
    </row>
    <row r="465" customFormat="false" ht="11.25" hidden="false" customHeight="true" outlineLevel="0" collapsed="false">
      <c r="A465" s="53" t="s">
        <v>2190</v>
      </c>
      <c r="B465" s="53" t="s">
        <v>14</v>
      </c>
      <c r="C465" s="53" t="s">
        <v>2649</v>
      </c>
      <c r="D465" s="53" t="s">
        <v>2650</v>
      </c>
      <c r="E465" s="53" t="s">
        <v>2651</v>
      </c>
      <c r="F465" s="53" t="s">
        <v>2222</v>
      </c>
      <c r="I465" s="53" t="s">
        <v>789</v>
      </c>
    </row>
    <row r="466" customFormat="false" ht="11.25" hidden="false" customHeight="true" outlineLevel="0" collapsed="false">
      <c r="A466" s="53" t="s">
        <v>2190</v>
      </c>
      <c r="B466" s="53" t="s">
        <v>14</v>
      </c>
      <c r="C466" s="53" t="s">
        <v>3252</v>
      </c>
      <c r="D466" s="53" t="s">
        <v>3253</v>
      </c>
      <c r="E466" s="53" t="s">
        <v>3254</v>
      </c>
      <c r="F466" s="53" t="s">
        <v>2655</v>
      </c>
      <c r="H466" s="53" t="s">
        <v>2697</v>
      </c>
      <c r="I466" s="53" t="s">
        <v>789</v>
      </c>
    </row>
    <row r="467" customFormat="false" ht="11.25" hidden="false" customHeight="true" outlineLevel="0" collapsed="false">
      <c r="A467" s="53" t="s">
        <v>2190</v>
      </c>
      <c r="B467" s="53" t="s">
        <v>14</v>
      </c>
      <c r="C467" s="53" t="s">
        <v>3255</v>
      </c>
      <c r="D467" s="53" t="s">
        <v>3256</v>
      </c>
      <c r="E467" s="53" t="s">
        <v>3257</v>
      </c>
      <c r="F467" s="53" t="s">
        <v>2254</v>
      </c>
      <c r="G467" s="53" t="s">
        <v>3258</v>
      </c>
      <c r="I467" s="53" t="s">
        <v>789</v>
      </c>
    </row>
    <row r="468" customFormat="false" ht="11.25" hidden="false" customHeight="true" outlineLevel="0" collapsed="false">
      <c r="A468" s="53" t="s">
        <v>2190</v>
      </c>
      <c r="B468" s="53" t="s">
        <v>14</v>
      </c>
      <c r="C468" s="53" t="s">
        <v>2671</v>
      </c>
      <c r="D468" s="53" t="s">
        <v>2672</v>
      </c>
      <c r="E468" s="53" t="s">
        <v>2673</v>
      </c>
      <c r="F468" s="53" t="s">
        <v>2409</v>
      </c>
      <c r="I468" s="53" t="s">
        <v>789</v>
      </c>
    </row>
    <row r="469" customFormat="false" ht="11.25" hidden="false" customHeight="true" outlineLevel="0" collapsed="false">
      <c r="A469" s="53" t="s">
        <v>2190</v>
      </c>
      <c r="B469" s="53" t="s">
        <v>14</v>
      </c>
      <c r="C469" s="53" t="s">
        <v>2694</v>
      </c>
      <c r="D469" s="53" t="s">
        <v>2695</v>
      </c>
      <c r="E469" s="53" t="s">
        <v>2696</v>
      </c>
      <c r="F469" s="53" t="s">
        <v>2427</v>
      </c>
      <c r="H469" s="53" t="s">
        <v>2697</v>
      </c>
      <c r="I469" s="53" t="s">
        <v>789</v>
      </c>
    </row>
    <row r="470" customFormat="false" ht="11.25" hidden="false" customHeight="true" outlineLevel="0" collapsed="false">
      <c r="A470" s="53" t="s">
        <v>2190</v>
      </c>
      <c r="B470" s="53" t="s">
        <v>14</v>
      </c>
      <c r="C470" s="53" t="s">
        <v>3259</v>
      </c>
      <c r="D470" s="53" t="s">
        <v>3260</v>
      </c>
      <c r="E470" s="53" t="s">
        <v>3261</v>
      </c>
      <c r="F470" s="53" t="s">
        <v>2409</v>
      </c>
      <c r="H470" s="53" t="s">
        <v>3262</v>
      </c>
      <c r="I470" s="53" t="s">
        <v>789</v>
      </c>
    </row>
    <row r="471" customFormat="false" ht="11.25" hidden="false" customHeight="true" outlineLevel="0" collapsed="false">
      <c r="A471" s="53" t="s">
        <v>2190</v>
      </c>
      <c r="B471" s="53" t="s">
        <v>14</v>
      </c>
      <c r="C471" s="53" t="s">
        <v>2701</v>
      </c>
      <c r="D471" s="53" t="s">
        <v>2702</v>
      </c>
      <c r="E471" s="53" t="s">
        <v>2703</v>
      </c>
      <c r="F471" s="53" t="s">
        <v>2258</v>
      </c>
      <c r="G471" s="53" t="s">
        <v>2269</v>
      </c>
      <c r="H471" s="53" t="s">
        <v>2704</v>
      </c>
      <c r="I471" s="53" t="s">
        <v>789</v>
      </c>
    </row>
    <row r="472" customFormat="false" ht="11.25" hidden="false" customHeight="true" outlineLevel="0" collapsed="false">
      <c r="A472" s="53" t="s">
        <v>2190</v>
      </c>
      <c r="B472" s="53" t="s">
        <v>14</v>
      </c>
      <c r="C472" s="53" t="s">
        <v>3263</v>
      </c>
      <c r="D472" s="53" t="s">
        <v>3264</v>
      </c>
      <c r="E472" s="53" t="s">
        <v>3265</v>
      </c>
      <c r="F472" s="53" t="s">
        <v>2389</v>
      </c>
      <c r="I472" s="53" t="s">
        <v>789</v>
      </c>
    </row>
    <row r="473" customFormat="false" ht="11.25" hidden="false" customHeight="true" outlineLevel="0" collapsed="false">
      <c r="A473" s="53" t="s">
        <v>2190</v>
      </c>
      <c r="B473" s="53" t="s">
        <v>14</v>
      </c>
      <c r="C473" s="53" t="s">
        <v>3266</v>
      </c>
      <c r="D473" s="53" t="s">
        <v>3267</v>
      </c>
      <c r="E473" s="53" t="s">
        <v>3268</v>
      </c>
      <c r="F473" s="53" t="s">
        <v>2546</v>
      </c>
      <c r="H473" s="53" t="s">
        <v>2452</v>
      </c>
      <c r="I473" s="53" t="s">
        <v>789</v>
      </c>
    </row>
    <row r="474" customFormat="false" ht="11.25" hidden="false" customHeight="true" outlineLevel="0" collapsed="false">
      <c r="A474" s="53" t="s">
        <v>2190</v>
      </c>
      <c r="B474" s="53" t="s">
        <v>14</v>
      </c>
      <c r="C474" s="53" t="s">
        <v>3269</v>
      </c>
      <c r="D474" s="53" t="s">
        <v>3270</v>
      </c>
      <c r="E474" s="53" t="s">
        <v>3271</v>
      </c>
      <c r="F474" s="53" t="s">
        <v>2427</v>
      </c>
      <c r="I474" s="53" t="s">
        <v>789</v>
      </c>
    </row>
    <row r="475" customFormat="false" ht="11.25" hidden="false" customHeight="true" outlineLevel="0" collapsed="false">
      <c r="A475" s="53" t="s">
        <v>2190</v>
      </c>
      <c r="B475" s="53" t="s">
        <v>14</v>
      </c>
      <c r="C475" s="53" t="s">
        <v>2755</v>
      </c>
      <c r="D475" s="53" t="s">
        <v>2756</v>
      </c>
      <c r="E475" s="53" t="s">
        <v>2757</v>
      </c>
      <c r="F475" s="53" t="s">
        <v>2758</v>
      </c>
      <c r="H475" s="53" t="s">
        <v>2759</v>
      </c>
      <c r="I475" s="53" t="s">
        <v>789</v>
      </c>
    </row>
    <row r="476" customFormat="false" ht="11.25" hidden="false" customHeight="true" outlineLevel="0" collapsed="false">
      <c r="A476" s="53" t="s">
        <v>2190</v>
      </c>
      <c r="B476" s="53" t="s">
        <v>14</v>
      </c>
      <c r="C476" s="53" t="s">
        <v>3272</v>
      </c>
      <c r="D476" s="53" t="s">
        <v>3273</v>
      </c>
      <c r="E476" s="53" t="s">
        <v>3274</v>
      </c>
      <c r="F476" s="53" t="s">
        <v>2218</v>
      </c>
      <c r="H476" s="53" t="s">
        <v>3275</v>
      </c>
      <c r="I476" s="53" t="s">
        <v>789</v>
      </c>
    </row>
    <row r="477" customFormat="false" ht="11.25" hidden="false" customHeight="true" outlineLevel="0" collapsed="false">
      <c r="A477" s="53" t="s">
        <v>2190</v>
      </c>
      <c r="B477" s="53" t="s">
        <v>14</v>
      </c>
      <c r="C477" s="53" t="s">
        <v>3276</v>
      </c>
      <c r="D477" s="53" t="s">
        <v>3277</v>
      </c>
      <c r="E477" s="53" t="s">
        <v>3278</v>
      </c>
      <c r="F477" s="53" t="s">
        <v>2262</v>
      </c>
      <c r="H477" s="53" t="s">
        <v>2452</v>
      </c>
      <c r="I477" s="53" t="s">
        <v>789</v>
      </c>
    </row>
    <row r="478" customFormat="false" ht="11.25" hidden="false" customHeight="true" outlineLevel="0" collapsed="false">
      <c r="A478" s="53" t="s">
        <v>2190</v>
      </c>
      <c r="B478" s="53" t="s">
        <v>14</v>
      </c>
      <c r="C478" s="53" t="s">
        <v>3279</v>
      </c>
      <c r="D478" s="53" t="s">
        <v>3280</v>
      </c>
      <c r="E478" s="53" t="s">
        <v>3281</v>
      </c>
      <c r="F478" s="53" t="s">
        <v>2427</v>
      </c>
      <c r="H478" s="53" t="s">
        <v>3282</v>
      </c>
      <c r="I478" s="53" t="s">
        <v>789</v>
      </c>
    </row>
    <row r="479" customFormat="false" ht="11.25" hidden="false" customHeight="true" outlineLevel="0" collapsed="false">
      <c r="A479" s="53" t="s">
        <v>2190</v>
      </c>
      <c r="B479" s="53" t="s">
        <v>14</v>
      </c>
      <c r="C479" s="53" t="s">
        <v>3283</v>
      </c>
      <c r="D479" s="53" t="s">
        <v>3284</v>
      </c>
      <c r="E479" s="53" t="s">
        <v>3285</v>
      </c>
      <c r="F479" s="53" t="s">
        <v>2427</v>
      </c>
      <c r="G479" s="53" t="s">
        <v>3286</v>
      </c>
      <c r="H479" s="53" t="s">
        <v>3287</v>
      </c>
      <c r="I479" s="53" t="s">
        <v>789</v>
      </c>
    </row>
    <row r="480" customFormat="false" ht="11.25" hidden="false" customHeight="true" outlineLevel="0" collapsed="false">
      <c r="A480" s="53" t="s">
        <v>2190</v>
      </c>
      <c r="B480" s="53" t="s">
        <v>14</v>
      </c>
      <c r="C480" s="53" t="s">
        <v>3288</v>
      </c>
      <c r="D480" s="53" t="s">
        <v>3289</v>
      </c>
      <c r="E480" s="53" t="s">
        <v>3290</v>
      </c>
      <c r="F480" s="53" t="s">
        <v>2254</v>
      </c>
      <c r="G480" s="53" t="s">
        <v>3291</v>
      </c>
      <c r="I480" s="53" t="s">
        <v>789</v>
      </c>
    </row>
    <row r="481" customFormat="false" ht="11.25" hidden="false" customHeight="true" outlineLevel="0" collapsed="false">
      <c r="A481" s="53" t="s">
        <v>2190</v>
      </c>
      <c r="B481" s="53" t="s">
        <v>14</v>
      </c>
      <c r="C481" s="53" t="s">
        <v>3292</v>
      </c>
      <c r="D481" s="53" t="s">
        <v>3293</v>
      </c>
      <c r="E481" s="53" t="s">
        <v>3294</v>
      </c>
      <c r="F481" s="53" t="s">
        <v>48</v>
      </c>
      <c r="G481" s="53" t="s">
        <v>3295</v>
      </c>
      <c r="I481" s="53" t="s">
        <v>789</v>
      </c>
    </row>
    <row r="482" customFormat="false" ht="11.25" hidden="false" customHeight="true" outlineLevel="0" collapsed="false">
      <c r="A482" s="53" t="s">
        <v>2190</v>
      </c>
      <c r="B482" s="53" t="s">
        <v>14</v>
      </c>
      <c r="C482" s="53" t="s">
        <v>3296</v>
      </c>
      <c r="D482" s="53" t="s">
        <v>3297</v>
      </c>
      <c r="E482" s="53" t="s">
        <v>3298</v>
      </c>
      <c r="F482" s="53" t="s">
        <v>2208</v>
      </c>
      <c r="H482" s="53" t="s">
        <v>3299</v>
      </c>
      <c r="I482" s="53" t="s">
        <v>789</v>
      </c>
    </row>
    <row r="483" customFormat="false" ht="11.25" hidden="false" customHeight="true" outlineLevel="0" collapsed="false">
      <c r="A483" s="53" t="s">
        <v>2190</v>
      </c>
      <c r="B483" s="53" t="s">
        <v>14</v>
      </c>
      <c r="C483" s="53" t="s">
        <v>2780</v>
      </c>
      <c r="D483" s="53" t="s">
        <v>2781</v>
      </c>
      <c r="E483" s="53" t="s">
        <v>2782</v>
      </c>
      <c r="F483" s="53" t="s">
        <v>2409</v>
      </c>
      <c r="G483" s="53" t="s">
        <v>2783</v>
      </c>
      <c r="I483" s="53" t="s">
        <v>789</v>
      </c>
    </row>
    <row r="484" customFormat="false" ht="11.25" hidden="false" customHeight="true" outlineLevel="0" collapsed="false">
      <c r="A484" s="53" t="s">
        <v>2190</v>
      </c>
      <c r="B484" s="53" t="s">
        <v>14</v>
      </c>
      <c r="C484" s="53" t="s">
        <v>3300</v>
      </c>
      <c r="D484" s="53" t="s">
        <v>3301</v>
      </c>
      <c r="E484" s="53" t="s">
        <v>3302</v>
      </c>
      <c r="F484" s="53" t="s">
        <v>2708</v>
      </c>
      <c r="H484" s="53" t="s">
        <v>3162</v>
      </c>
      <c r="I484" s="53" t="s">
        <v>789</v>
      </c>
    </row>
    <row r="485" customFormat="false" ht="11.25" hidden="false" customHeight="true" outlineLevel="0" collapsed="false">
      <c r="A485" s="53" t="s">
        <v>2190</v>
      </c>
      <c r="B485" s="53" t="s">
        <v>14</v>
      </c>
      <c r="C485" s="53" t="s">
        <v>3303</v>
      </c>
      <c r="D485" s="53" t="s">
        <v>3304</v>
      </c>
      <c r="E485" s="53" t="s">
        <v>3305</v>
      </c>
      <c r="F485" s="53" t="s">
        <v>48</v>
      </c>
      <c r="I485" s="53" t="s">
        <v>789</v>
      </c>
    </row>
    <row r="486" customFormat="false" ht="11.25" hidden="false" customHeight="true" outlineLevel="0" collapsed="false">
      <c r="A486" s="53" t="s">
        <v>2190</v>
      </c>
      <c r="B486" s="53" t="s">
        <v>14</v>
      </c>
      <c r="C486" s="53" t="s">
        <v>2809</v>
      </c>
      <c r="D486" s="53" t="s">
        <v>2807</v>
      </c>
      <c r="E486" s="53" t="s">
        <v>2808</v>
      </c>
      <c r="F486" s="53" t="s">
        <v>2254</v>
      </c>
      <c r="H486" s="53" t="s">
        <v>2810</v>
      </c>
      <c r="I486" s="53" t="s">
        <v>789</v>
      </c>
    </row>
    <row r="487" customFormat="false" ht="11.25" hidden="false" customHeight="true" outlineLevel="0" collapsed="false">
      <c r="A487" s="53" t="s">
        <v>2190</v>
      </c>
      <c r="B487" s="53" t="s">
        <v>14</v>
      </c>
      <c r="C487" s="53" t="s">
        <v>3306</v>
      </c>
      <c r="D487" s="53" t="s">
        <v>3307</v>
      </c>
      <c r="E487" s="53" t="s">
        <v>3308</v>
      </c>
      <c r="F487" s="53" t="s">
        <v>3309</v>
      </c>
      <c r="I487" s="53" t="s">
        <v>789</v>
      </c>
    </row>
    <row r="488" customFormat="false" ht="11.25" hidden="false" customHeight="true" outlineLevel="0" collapsed="false">
      <c r="A488" s="53" t="s">
        <v>2190</v>
      </c>
      <c r="B488" s="53" t="s">
        <v>14</v>
      </c>
      <c r="C488" s="53" t="s">
        <v>2855</v>
      </c>
      <c r="D488" s="53" t="s">
        <v>2856</v>
      </c>
      <c r="E488" s="53" t="s">
        <v>2857</v>
      </c>
      <c r="F488" s="53" t="s">
        <v>2835</v>
      </c>
      <c r="I488" s="53" t="s">
        <v>789</v>
      </c>
    </row>
    <row r="489" customFormat="false" ht="11.25" hidden="false" customHeight="true" outlineLevel="0" collapsed="false">
      <c r="A489" s="53" t="s">
        <v>2190</v>
      </c>
      <c r="B489" s="53" t="s">
        <v>14</v>
      </c>
      <c r="C489" s="53" t="s">
        <v>3310</v>
      </c>
      <c r="D489" s="53" t="s">
        <v>3311</v>
      </c>
      <c r="E489" s="53" t="s">
        <v>3312</v>
      </c>
      <c r="F489" s="53" t="s">
        <v>2258</v>
      </c>
      <c r="H489" s="53" t="s">
        <v>3313</v>
      </c>
      <c r="I489" s="53" t="s">
        <v>789</v>
      </c>
    </row>
    <row r="490" customFormat="false" ht="11.25" hidden="false" customHeight="true" outlineLevel="0" collapsed="false">
      <c r="A490" s="53" t="s">
        <v>2190</v>
      </c>
      <c r="B490" s="53" t="s">
        <v>14</v>
      </c>
      <c r="C490" s="53" t="s">
        <v>3314</v>
      </c>
      <c r="D490" s="53" t="s">
        <v>3315</v>
      </c>
      <c r="E490" s="53" t="s">
        <v>3316</v>
      </c>
      <c r="F490" s="53" t="s">
        <v>2208</v>
      </c>
      <c r="I490" s="53" t="s">
        <v>789</v>
      </c>
    </row>
    <row r="491" customFormat="false" ht="11.25" hidden="false" customHeight="true" outlineLevel="0" collapsed="false">
      <c r="A491" s="53" t="s">
        <v>2190</v>
      </c>
      <c r="B491" s="53" t="s">
        <v>14</v>
      </c>
      <c r="C491" s="53" t="s">
        <v>3317</v>
      </c>
      <c r="D491" s="53" t="s">
        <v>3318</v>
      </c>
      <c r="E491" s="53" t="s">
        <v>3319</v>
      </c>
      <c r="F491" s="53" t="s">
        <v>2708</v>
      </c>
      <c r="H491" s="53" t="s">
        <v>3320</v>
      </c>
      <c r="I491" s="53" t="s">
        <v>789</v>
      </c>
    </row>
    <row r="492" customFormat="false" ht="11.25" hidden="false" customHeight="true" outlineLevel="0" collapsed="false">
      <c r="A492" s="53" t="s">
        <v>2190</v>
      </c>
      <c r="B492" s="53" t="s">
        <v>14</v>
      </c>
      <c r="C492" s="53" t="s">
        <v>3321</v>
      </c>
      <c r="D492" s="53" t="s">
        <v>3322</v>
      </c>
      <c r="E492" s="53" t="s">
        <v>3323</v>
      </c>
      <c r="F492" s="53" t="s">
        <v>2218</v>
      </c>
      <c r="I492" s="53" t="s">
        <v>789</v>
      </c>
    </row>
    <row r="493" customFormat="false" ht="11.25" hidden="false" customHeight="true" outlineLevel="0" collapsed="false">
      <c r="A493" s="53" t="s">
        <v>2190</v>
      </c>
      <c r="B493" s="53" t="s">
        <v>14</v>
      </c>
      <c r="C493" s="53" t="s">
        <v>2898</v>
      </c>
      <c r="D493" s="53" t="s">
        <v>2899</v>
      </c>
      <c r="E493" s="53" t="s">
        <v>2900</v>
      </c>
      <c r="F493" s="53" t="s">
        <v>2405</v>
      </c>
      <c r="I493" s="53" t="s">
        <v>789</v>
      </c>
    </row>
    <row r="494" customFormat="false" ht="11.25" hidden="false" customHeight="true" outlineLevel="0" collapsed="false">
      <c r="A494" s="53" t="s">
        <v>2190</v>
      </c>
      <c r="B494" s="53" t="s">
        <v>14</v>
      </c>
      <c r="C494" s="53" t="s">
        <v>3324</v>
      </c>
      <c r="D494" s="53" t="s">
        <v>3325</v>
      </c>
      <c r="E494" s="53" t="s">
        <v>3326</v>
      </c>
      <c r="F494" s="53" t="s">
        <v>2427</v>
      </c>
      <c r="I494" s="53" t="s">
        <v>789</v>
      </c>
    </row>
    <row r="495" customFormat="false" ht="11.25" hidden="false" customHeight="true" outlineLevel="0" collapsed="false">
      <c r="A495" s="53" t="s">
        <v>2190</v>
      </c>
      <c r="B495" s="53" t="s">
        <v>14</v>
      </c>
      <c r="C495" s="53" t="s">
        <v>3327</v>
      </c>
      <c r="D495" s="53" t="s">
        <v>3328</v>
      </c>
      <c r="E495" s="53" t="s">
        <v>3329</v>
      </c>
      <c r="F495" s="53" t="s">
        <v>2405</v>
      </c>
      <c r="H495" s="53" t="s">
        <v>2724</v>
      </c>
      <c r="I495" s="53" t="s">
        <v>789</v>
      </c>
    </row>
    <row r="496" customFormat="false" ht="11.25" hidden="false" customHeight="true" outlineLevel="0" collapsed="false">
      <c r="A496" s="53" t="s">
        <v>2190</v>
      </c>
      <c r="B496" s="53" t="s">
        <v>14</v>
      </c>
      <c r="C496" s="53" t="s">
        <v>3330</v>
      </c>
      <c r="D496" s="53" t="s">
        <v>3331</v>
      </c>
      <c r="E496" s="53" t="s">
        <v>3332</v>
      </c>
      <c r="F496" s="53" t="s">
        <v>2262</v>
      </c>
      <c r="G496" s="53" t="s">
        <v>3333</v>
      </c>
      <c r="I496" s="53" t="s">
        <v>789</v>
      </c>
    </row>
    <row r="497" customFormat="false" ht="11.25" hidden="false" customHeight="true" outlineLevel="0" collapsed="false">
      <c r="A497" s="53" t="s">
        <v>2190</v>
      </c>
      <c r="B497" s="53" t="s">
        <v>14</v>
      </c>
      <c r="C497" s="53" t="s">
        <v>2916</v>
      </c>
      <c r="D497" s="53" t="s">
        <v>2917</v>
      </c>
      <c r="E497" s="53" t="s">
        <v>2918</v>
      </c>
      <c r="F497" s="53" t="s">
        <v>2409</v>
      </c>
      <c r="G497" s="53" t="s">
        <v>2919</v>
      </c>
      <c r="I497" s="53" t="s">
        <v>789</v>
      </c>
    </row>
    <row r="498" customFormat="false" ht="11.25" hidden="false" customHeight="true" outlineLevel="0" collapsed="false">
      <c r="A498" s="53" t="s">
        <v>2190</v>
      </c>
      <c r="B498" s="53" t="s">
        <v>14</v>
      </c>
      <c r="C498" s="53" t="s">
        <v>3334</v>
      </c>
      <c r="D498" s="53" t="s">
        <v>3335</v>
      </c>
      <c r="E498" s="53" t="s">
        <v>3336</v>
      </c>
      <c r="F498" s="53" t="s">
        <v>3337</v>
      </c>
      <c r="I498" s="53" t="s">
        <v>789</v>
      </c>
    </row>
    <row r="499" customFormat="false" ht="11.25" hidden="false" customHeight="true" outlineLevel="0" collapsed="false">
      <c r="A499" s="53" t="s">
        <v>2190</v>
      </c>
      <c r="B499" s="53" t="s">
        <v>14</v>
      </c>
      <c r="C499" s="53" t="s">
        <v>3338</v>
      </c>
      <c r="D499" s="53" t="s">
        <v>3339</v>
      </c>
      <c r="E499" s="53" t="s">
        <v>3340</v>
      </c>
      <c r="F499" s="53" t="s">
        <v>2427</v>
      </c>
      <c r="G499" s="53" t="s">
        <v>3341</v>
      </c>
      <c r="I499" s="53" t="s">
        <v>789</v>
      </c>
    </row>
    <row r="500" customFormat="false" ht="11.25" hidden="false" customHeight="true" outlineLevel="0" collapsed="false">
      <c r="A500" s="53" t="s">
        <v>2190</v>
      </c>
      <c r="B500" s="53" t="s">
        <v>14</v>
      </c>
      <c r="C500" s="53" t="s">
        <v>2941</v>
      </c>
      <c r="D500" s="53" t="s">
        <v>2942</v>
      </c>
      <c r="E500" s="53" t="s">
        <v>2943</v>
      </c>
      <c r="F500" s="53" t="s">
        <v>2262</v>
      </c>
      <c r="I500" s="53" t="s">
        <v>789</v>
      </c>
    </row>
    <row r="501" customFormat="false" ht="11.25" hidden="false" customHeight="true" outlineLevel="0" collapsed="false">
      <c r="A501" s="53" t="s">
        <v>2190</v>
      </c>
      <c r="B501" s="53" t="s">
        <v>14</v>
      </c>
      <c r="C501" s="53" t="s">
        <v>2947</v>
      </c>
      <c r="D501" s="53" t="s">
        <v>2948</v>
      </c>
      <c r="E501" s="53" t="s">
        <v>2949</v>
      </c>
      <c r="F501" s="53" t="s">
        <v>2427</v>
      </c>
      <c r="G501" s="53" t="s">
        <v>2950</v>
      </c>
      <c r="I501" s="53" t="s">
        <v>789</v>
      </c>
    </row>
    <row r="502" customFormat="false" ht="11.25" hidden="false" customHeight="true" outlineLevel="0" collapsed="false">
      <c r="A502" s="53" t="s">
        <v>2190</v>
      </c>
      <c r="B502" s="53" t="s">
        <v>14</v>
      </c>
      <c r="C502" s="53" t="s">
        <v>3342</v>
      </c>
      <c r="D502" s="53" t="s">
        <v>3343</v>
      </c>
      <c r="E502" s="53" t="s">
        <v>3344</v>
      </c>
      <c r="F502" s="53" t="s">
        <v>2409</v>
      </c>
      <c r="I502" s="53" t="s">
        <v>789</v>
      </c>
    </row>
    <row r="503" customFormat="false" ht="11.25" hidden="false" customHeight="true" outlineLevel="0" collapsed="false">
      <c r="A503" s="53" t="s">
        <v>2190</v>
      </c>
      <c r="B503" s="53" t="s">
        <v>14</v>
      </c>
      <c r="C503" s="53" t="s">
        <v>3345</v>
      </c>
      <c r="D503" s="53" t="s">
        <v>3346</v>
      </c>
      <c r="E503" s="53" t="s">
        <v>3347</v>
      </c>
      <c r="F503" s="53" t="s">
        <v>2262</v>
      </c>
      <c r="G503" s="53" t="s">
        <v>3348</v>
      </c>
      <c r="I503" s="53" t="s">
        <v>789</v>
      </c>
    </row>
    <row r="504" customFormat="false" ht="11.25" hidden="false" customHeight="true" outlineLevel="0" collapsed="false">
      <c r="A504" s="53" t="s">
        <v>2190</v>
      </c>
      <c r="B504" s="53" t="s">
        <v>14</v>
      </c>
      <c r="C504" s="53" t="s">
        <v>3349</v>
      </c>
      <c r="D504" s="53" t="s">
        <v>3350</v>
      </c>
      <c r="E504" s="53" t="s">
        <v>3351</v>
      </c>
      <c r="F504" s="53" t="s">
        <v>2262</v>
      </c>
      <c r="H504" s="53" t="s">
        <v>3262</v>
      </c>
      <c r="I504" s="53" t="s">
        <v>789</v>
      </c>
    </row>
    <row r="505" customFormat="false" ht="11.25" hidden="false" customHeight="true" outlineLevel="0" collapsed="false">
      <c r="A505" s="53" t="s">
        <v>2190</v>
      </c>
      <c r="B505" s="53" t="s">
        <v>14</v>
      </c>
      <c r="C505" s="53" t="s">
        <v>3352</v>
      </c>
      <c r="D505" s="53" t="s">
        <v>3353</v>
      </c>
      <c r="E505" s="53" t="s">
        <v>3354</v>
      </c>
      <c r="F505" s="53" t="s">
        <v>2254</v>
      </c>
      <c r="G505" s="53" t="s">
        <v>3355</v>
      </c>
      <c r="I505" s="53" t="s">
        <v>789</v>
      </c>
    </row>
    <row r="506" customFormat="false" ht="11.25" hidden="false" customHeight="true" outlineLevel="0" collapsed="false">
      <c r="A506" s="53" t="s">
        <v>2190</v>
      </c>
      <c r="B506" s="53" t="s">
        <v>14</v>
      </c>
      <c r="C506" s="53" t="s">
        <v>2990</v>
      </c>
      <c r="D506" s="53" t="s">
        <v>2991</v>
      </c>
      <c r="E506" s="53" t="s">
        <v>2992</v>
      </c>
      <c r="F506" s="53" t="s">
        <v>2427</v>
      </c>
      <c r="I506" s="53" t="s">
        <v>789</v>
      </c>
    </row>
    <row r="507" customFormat="false" ht="11.25" hidden="false" customHeight="true" outlineLevel="0" collapsed="false">
      <c r="A507" s="53" t="s">
        <v>2190</v>
      </c>
      <c r="B507" s="53" t="s">
        <v>14</v>
      </c>
      <c r="C507" s="53" t="s">
        <v>2999</v>
      </c>
      <c r="D507" s="53" t="s">
        <v>3000</v>
      </c>
      <c r="E507" s="53" t="s">
        <v>3001</v>
      </c>
      <c r="F507" s="53" t="s">
        <v>2234</v>
      </c>
      <c r="I507" s="53" t="s">
        <v>789</v>
      </c>
    </row>
    <row r="508" customFormat="false" ht="11.25" hidden="false" customHeight="true" outlineLevel="0" collapsed="false">
      <c r="A508" s="53" t="s">
        <v>2190</v>
      </c>
      <c r="B508" s="53" t="s">
        <v>14</v>
      </c>
      <c r="C508" s="53" t="s">
        <v>3002</v>
      </c>
      <c r="D508" s="53" t="s">
        <v>3000</v>
      </c>
      <c r="E508" s="53" t="s">
        <v>3001</v>
      </c>
      <c r="F508" s="53" t="s">
        <v>2409</v>
      </c>
      <c r="G508" s="53" t="s">
        <v>3003</v>
      </c>
      <c r="I508" s="53" t="s">
        <v>789</v>
      </c>
    </row>
    <row r="509" customFormat="false" ht="11.25" hidden="false" customHeight="true" outlineLevel="0" collapsed="false">
      <c r="A509" s="53" t="s">
        <v>2190</v>
      </c>
      <c r="B509" s="53" t="s">
        <v>14</v>
      </c>
      <c r="C509" s="53" t="s">
        <v>3356</v>
      </c>
      <c r="D509" s="53" t="s">
        <v>3357</v>
      </c>
      <c r="E509" s="53" t="s">
        <v>3358</v>
      </c>
      <c r="F509" s="53" t="s">
        <v>2208</v>
      </c>
      <c r="H509" s="53" t="s">
        <v>3359</v>
      </c>
      <c r="I509" s="53" t="s">
        <v>789</v>
      </c>
    </row>
    <row r="510" customFormat="false" ht="11.25" hidden="false" customHeight="true" outlineLevel="0" collapsed="false">
      <c r="A510" s="53" t="s">
        <v>2190</v>
      </c>
      <c r="B510" s="53" t="s">
        <v>14</v>
      </c>
      <c r="C510" s="53" t="s">
        <v>3360</v>
      </c>
      <c r="D510" s="53" t="s">
        <v>3361</v>
      </c>
      <c r="E510" s="53" t="s">
        <v>3362</v>
      </c>
      <c r="F510" s="53" t="s">
        <v>3363</v>
      </c>
      <c r="G510" s="53" t="s">
        <v>3364</v>
      </c>
      <c r="I510" s="53" t="s">
        <v>789</v>
      </c>
    </row>
    <row r="511" customFormat="false" ht="11.25" hidden="false" customHeight="true" outlineLevel="0" collapsed="false">
      <c r="A511" s="53" t="s">
        <v>2190</v>
      </c>
      <c r="B511" s="53" t="s">
        <v>14</v>
      </c>
      <c r="C511" s="53" t="s">
        <v>3365</v>
      </c>
      <c r="D511" s="53" t="s">
        <v>3366</v>
      </c>
      <c r="E511" s="53" t="s">
        <v>3367</v>
      </c>
      <c r="F511" s="53" t="s">
        <v>2262</v>
      </c>
      <c r="H511" s="53" t="s">
        <v>2547</v>
      </c>
      <c r="I511" s="53" t="s">
        <v>789</v>
      </c>
    </row>
    <row r="512" customFormat="false" ht="11.25" hidden="false" customHeight="true" outlineLevel="0" collapsed="false">
      <c r="A512" s="53" t="s">
        <v>2190</v>
      </c>
      <c r="B512" s="53" t="s">
        <v>14</v>
      </c>
      <c r="C512" s="53" t="s">
        <v>3368</v>
      </c>
      <c r="D512" s="53" t="s">
        <v>3369</v>
      </c>
      <c r="E512" s="53" t="s">
        <v>2202</v>
      </c>
      <c r="F512" s="53" t="s">
        <v>3370</v>
      </c>
      <c r="I512" s="53" t="s">
        <v>789</v>
      </c>
    </row>
    <row r="513" customFormat="false" ht="11.25" hidden="false" customHeight="true" outlineLevel="0" collapsed="false">
      <c r="A513" s="53" t="s">
        <v>2190</v>
      </c>
      <c r="B513" s="53" t="s">
        <v>14</v>
      </c>
      <c r="C513" s="53" t="s">
        <v>3371</v>
      </c>
      <c r="D513" s="53" t="s">
        <v>3372</v>
      </c>
      <c r="E513" s="53" t="s">
        <v>3373</v>
      </c>
      <c r="F513" s="53" t="s">
        <v>3374</v>
      </c>
      <c r="I513" s="53" t="s">
        <v>789</v>
      </c>
    </row>
    <row r="514" customFormat="false" ht="11.25" hidden="false" customHeight="true" outlineLevel="0" collapsed="false">
      <c r="A514" s="53" t="s">
        <v>2190</v>
      </c>
      <c r="B514" s="53" t="s">
        <v>14</v>
      </c>
      <c r="C514" s="53" t="s">
        <v>3008</v>
      </c>
      <c r="D514" s="53" t="s">
        <v>3009</v>
      </c>
      <c r="E514" s="53" t="s">
        <v>3010</v>
      </c>
      <c r="F514" s="53" t="s">
        <v>2222</v>
      </c>
      <c r="I514" s="53" t="s">
        <v>789</v>
      </c>
    </row>
    <row r="515" customFormat="false" ht="11.25" hidden="false" customHeight="true" outlineLevel="0" collapsed="false">
      <c r="A515" s="53" t="s">
        <v>2190</v>
      </c>
      <c r="B515" s="53" t="s">
        <v>14</v>
      </c>
      <c r="C515" s="53" t="s">
        <v>3014</v>
      </c>
      <c r="D515" s="53" t="s">
        <v>3015</v>
      </c>
      <c r="E515" s="53" t="s">
        <v>3016</v>
      </c>
      <c r="F515" s="53" t="s">
        <v>2222</v>
      </c>
      <c r="I515" s="53" t="s">
        <v>789</v>
      </c>
    </row>
    <row r="516" customFormat="false" ht="11.25" hidden="false" customHeight="true" outlineLevel="0" collapsed="false">
      <c r="A516" s="53" t="s">
        <v>2190</v>
      </c>
      <c r="B516" s="53" t="s">
        <v>14</v>
      </c>
      <c r="C516" s="53" t="s">
        <v>3375</v>
      </c>
      <c r="D516" s="53" t="s">
        <v>3376</v>
      </c>
      <c r="E516" s="53" t="s">
        <v>3377</v>
      </c>
      <c r="F516" s="53" t="s">
        <v>2258</v>
      </c>
      <c r="G516" s="53" t="s">
        <v>3378</v>
      </c>
      <c r="I516" s="53" t="s">
        <v>789</v>
      </c>
    </row>
    <row r="517" customFormat="false" ht="11.25" hidden="false" customHeight="true" outlineLevel="0" collapsed="false">
      <c r="A517" s="53" t="s">
        <v>2190</v>
      </c>
      <c r="B517" s="53" t="s">
        <v>14</v>
      </c>
      <c r="C517" s="53" t="s">
        <v>3017</v>
      </c>
      <c r="D517" s="53" t="s">
        <v>3018</v>
      </c>
      <c r="E517" s="53" t="s">
        <v>2688</v>
      </c>
      <c r="F517" s="53" t="s">
        <v>2226</v>
      </c>
      <c r="I517" s="53" t="s">
        <v>789</v>
      </c>
    </row>
    <row r="518" customFormat="false" ht="11.25" hidden="false" customHeight="true" outlineLevel="0" collapsed="false">
      <c r="A518" s="53" t="s">
        <v>2190</v>
      </c>
      <c r="B518" s="53" t="s">
        <v>14</v>
      </c>
      <c r="C518" s="53" t="s">
        <v>3019</v>
      </c>
      <c r="D518" s="53" t="s">
        <v>3018</v>
      </c>
      <c r="E518" s="53" t="s">
        <v>2688</v>
      </c>
      <c r="F518" s="53" t="s">
        <v>3020</v>
      </c>
      <c r="I518" s="53" t="s">
        <v>789</v>
      </c>
    </row>
    <row r="519" customFormat="false" ht="11.25" hidden="false" customHeight="true" outlineLevel="0" collapsed="false">
      <c r="A519" s="53" t="s">
        <v>2190</v>
      </c>
      <c r="B519" s="53" t="s">
        <v>14</v>
      </c>
      <c r="C519" s="53" t="s">
        <v>3025</v>
      </c>
      <c r="D519" s="53" t="s">
        <v>3026</v>
      </c>
      <c r="E519" s="53" t="s">
        <v>3027</v>
      </c>
      <c r="F519" s="53" t="s">
        <v>3028</v>
      </c>
      <c r="I519" s="53" t="s">
        <v>789</v>
      </c>
    </row>
    <row r="520" customFormat="false" ht="11.25" hidden="false" customHeight="true" outlineLevel="0" collapsed="false">
      <c r="A520" s="53" t="s">
        <v>2190</v>
      </c>
      <c r="B520" s="53" t="s">
        <v>14</v>
      </c>
      <c r="C520" s="53" t="s">
        <v>3029</v>
      </c>
      <c r="D520" s="53" t="s">
        <v>3030</v>
      </c>
      <c r="E520" s="53" t="s">
        <v>3031</v>
      </c>
      <c r="F520" s="53" t="s">
        <v>2258</v>
      </c>
      <c r="I520" s="53" t="s">
        <v>789</v>
      </c>
    </row>
    <row r="521" customFormat="false" ht="11.25" hidden="false" customHeight="true" outlineLevel="0" collapsed="false">
      <c r="A521" s="53" t="s">
        <v>2190</v>
      </c>
      <c r="B521" s="53" t="s">
        <v>14</v>
      </c>
      <c r="C521" s="53" t="s">
        <v>3379</v>
      </c>
      <c r="D521" s="53" t="s">
        <v>3380</v>
      </c>
      <c r="E521" s="53" t="s">
        <v>3381</v>
      </c>
      <c r="F521" s="53" t="s">
        <v>2427</v>
      </c>
      <c r="H521" s="53" t="s">
        <v>3382</v>
      </c>
      <c r="I521" s="53" t="s">
        <v>789</v>
      </c>
    </row>
    <row r="522" customFormat="false" ht="11.25" hidden="false" customHeight="true" outlineLevel="0" collapsed="false">
      <c r="A522" s="53" t="s">
        <v>2190</v>
      </c>
      <c r="B522" s="53" t="s">
        <v>14</v>
      </c>
      <c r="C522" s="53" t="s">
        <v>3383</v>
      </c>
      <c r="D522" s="53" t="s">
        <v>3384</v>
      </c>
      <c r="E522" s="53" t="s">
        <v>3385</v>
      </c>
      <c r="F522" s="53" t="s">
        <v>2234</v>
      </c>
      <c r="I522" s="53" t="s">
        <v>789</v>
      </c>
    </row>
    <row r="523" customFormat="false" ht="11.25" hidden="false" customHeight="true" outlineLevel="0" collapsed="false">
      <c r="A523" s="53" t="s">
        <v>2190</v>
      </c>
      <c r="B523" s="53" t="s">
        <v>14</v>
      </c>
      <c r="C523" s="53" t="s">
        <v>3386</v>
      </c>
      <c r="D523" s="53" t="s">
        <v>3387</v>
      </c>
      <c r="E523" s="53" t="s">
        <v>3388</v>
      </c>
      <c r="F523" s="53" t="s">
        <v>2218</v>
      </c>
      <c r="H523" s="53" t="s">
        <v>2697</v>
      </c>
      <c r="I523" s="53" t="s">
        <v>789</v>
      </c>
    </row>
    <row r="524" customFormat="false" ht="11.25" hidden="false" customHeight="true" outlineLevel="0" collapsed="false">
      <c r="A524" s="53" t="s">
        <v>2190</v>
      </c>
      <c r="B524" s="53" t="s">
        <v>14</v>
      </c>
      <c r="C524" s="53" t="s">
        <v>3389</v>
      </c>
      <c r="D524" s="53" t="s">
        <v>3390</v>
      </c>
      <c r="E524" s="53" t="s">
        <v>3391</v>
      </c>
      <c r="F524" s="53" t="s">
        <v>2405</v>
      </c>
      <c r="H524" s="53" t="s">
        <v>3392</v>
      </c>
      <c r="I524" s="53" t="s">
        <v>789</v>
      </c>
    </row>
    <row r="525" customFormat="false" ht="11.25" hidden="false" customHeight="true" outlineLevel="0" collapsed="false">
      <c r="A525" s="53" t="s">
        <v>2190</v>
      </c>
      <c r="B525" s="53" t="s">
        <v>14</v>
      </c>
      <c r="C525" s="53" t="s">
        <v>3393</v>
      </c>
      <c r="D525" s="53" t="s">
        <v>3394</v>
      </c>
      <c r="E525" s="53" t="s">
        <v>3395</v>
      </c>
      <c r="F525" s="53" t="s">
        <v>2405</v>
      </c>
      <c r="I525" s="53" t="s">
        <v>789</v>
      </c>
    </row>
    <row r="526" customFormat="false" ht="11.25" hidden="false" customHeight="true" outlineLevel="0" collapsed="false">
      <c r="A526" s="53" t="s">
        <v>2190</v>
      </c>
      <c r="B526" s="53" t="s">
        <v>14</v>
      </c>
      <c r="C526" s="53" t="s">
        <v>3396</v>
      </c>
      <c r="D526" s="53" t="s">
        <v>3397</v>
      </c>
      <c r="E526" s="53" t="s">
        <v>3398</v>
      </c>
      <c r="F526" s="53" t="s">
        <v>2208</v>
      </c>
      <c r="I526" s="53" t="s">
        <v>789</v>
      </c>
    </row>
    <row r="527" customFormat="false" ht="11.25" hidden="false" customHeight="true" outlineLevel="0" collapsed="false">
      <c r="A527" s="53" t="s">
        <v>2190</v>
      </c>
      <c r="B527" s="53" t="s">
        <v>14</v>
      </c>
      <c r="C527" s="53" t="s">
        <v>3399</v>
      </c>
      <c r="D527" s="53" t="s">
        <v>3400</v>
      </c>
      <c r="E527" s="53" t="s">
        <v>3401</v>
      </c>
      <c r="F527" s="53" t="s">
        <v>2208</v>
      </c>
      <c r="H527" s="53" t="s">
        <v>3402</v>
      </c>
      <c r="I527" s="53" t="s">
        <v>789</v>
      </c>
    </row>
    <row r="528" customFormat="false" ht="11.25" hidden="false" customHeight="true" outlineLevel="0" collapsed="false">
      <c r="A528" s="53" t="s">
        <v>2190</v>
      </c>
      <c r="B528" s="53" t="s">
        <v>14</v>
      </c>
      <c r="C528" s="53" t="s">
        <v>3044</v>
      </c>
      <c r="D528" s="53" t="s">
        <v>3045</v>
      </c>
      <c r="E528" s="53" t="s">
        <v>2292</v>
      </c>
      <c r="F528" s="53" t="s">
        <v>3046</v>
      </c>
      <c r="I528" s="53" t="s">
        <v>789</v>
      </c>
    </row>
    <row r="529" customFormat="false" ht="11.25" hidden="false" customHeight="true" outlineLevel="0" collapsed="false">
      <c r="A529" s="53" t="s">
        <v>2190</v>
      </c>
      <c r="B529" s="53" t="s">
        <v>14</v>
      </c>
      <c r="C529" s="53" t="s">
        <v>3053</v>
      </c>
      <c r="D529" s="53" t="s">
        <v>3054</v>
      </c>
      <c r="E529" s="53" t="s">
        <v>3055</v>
      </c>
      <c r="F529" s="53" t="s">
        <v>3056</v>
      </c>
      <c r="I529" s="53" t="s">
        <v>789</v>
      </c>
    </row>
    <row r="530" customFormat="false" ht="11.25" hidden="false" customHeight="true" outlineLevel="0" collapsed="false">
      <c r="A530" s="53" t="s">
        <v>2190</v>
      </c>
      <c r="B530" s="53" t="s">
        <v>14</v>
      </c>
      <c r="C530" s="53" t="s">
        <v>3403</v>
      </c>
      <c r="D530" s="53" t="s">
        <v>3404</v>
      </c>
      <c r="E530" s="53" t="s">
        <v>3405</v>
      </c>
      <c r="F530" s="53" t="s">
        <v>2427</v>
      </c>
      <c r="I530" s="53" t="s">
        <v>789</v>
      </c>
    </row>
    <row r="531" customFormat="false" ht="11.25" hidden="false" customHeight="true" outlineLevel="0" collapsed="false">
      <c r="A531" s="53" t="s">
        <v>2190</v>
      </c>
      <c r="B531" s="53" t="s">
        <v>14</v>
      </c>
      <c r="C531" s="53" t="s">
        <v>3406</v>
      </c>
      <c r="D531" s="53" t="s">
        <v>3407</v>
      </c>
      <c r="E531" s="53" t="s">
        <v>3408</v>
      </c>
      <c r="F531" s="53" t="s">
        <v>2409</v>
      </c>
      <c r="H531" s="53" t="s">
        <v>2498</v>
      </c>
      <c r="I531" s="53" t="s">
        <v>789</v>
      </c>
    </row>
    <row r="532" customFormat="false" ht="11.25" hidden="false" customHeight="true" outlineLevel="0" collapsed="false">
      <c r="A532" s="53" t="s">
        <v>2190</v>
      </c>
      <c r="B532" s="53" t="s">
        <v>14</v>
      </c>
      <c r="C532" s="53" t="s">
        <v>3409</v>
      </c>
      <c r="D532" s="53" t="s">
        <v>3410</v>
      </c>
      <c r="E532" s="53" t="s">
        <v>3411</v>
      </c>
      <c r="F532" s="53" t="s">
        <v>2427</v>
      </c>
      <c r="H532" s="53" t="s">
        <v>3412</v>
      </c>
      <c r="I532" s="53" t="s">
        <v>789</v>
      </c>
    </row>
    <row r="533" customFormat="false" ht="11.25" hidden="false" customHeight="true" outlineLevel="0" collapsed="false">
      <c r="A533" s="53" t="s">
        <v>2190</v>
      </c>
      <c r="B533" s="53" t="s">
        <v>14</v>
      </c>
      <c r="C533" s="53" t="s">
        <v>3413</v>
      </c>
      <c r="D533" s="53" t="s">
        <v>3414</v>
      </c>
      <c r="E533" s="53" t="s">
        <v>3415</v>
      </c>
      <c r="F533" s="53" t="s">
        <v>3416</v>
      </c>
      <c r="H533" s="53" t="s">
        <v>3417</v>
      </c>
      <c r="I533" s="53" t="s">
        <v>789</v>
      </c>
    </row>
    <row r="534" customFormat="false" ht="11.25" hidden="false" customHeight="true" outlineLevel="0" collapsed="false">
      <c r="A534" s="53" t="s">
        <v>2190</v>
      </c>
      <c r="B534" s="53" t="s">
        <v>14</v>
      </c>
      <c r="C534" s="53" t="s">
        <v>3081</v>
      </c>
      <c r="D534" s="53" t="s">
        <v>3082</v>
      </c>
      <c r="E534" s="53" t="s">
        <v>3027</v>
      </c>
      <c r="F534" s="53" t="s">
        <v>3083</v>
      </c>
      <c r="G534" s="53" t="s">
        <v>3084</v>
      </c>
      <c r="I534" s="53" t="s">
        <v>789</v>
      </c>
    </row>
    <row r="535" customFormat="false" ht="11.25" hidden="false" customHeight="true" outlineLevel="0" collapsed="false">
      <c r="A535" s="53" t="s">
        <v>2190</v>
      </c>
      <c r="B535" s="53" t="s">
        <v>14</v>
      </c>
      <c r="C535" s="53" t="s">
        <v>3089</v>
      </c>
      <c r="D535" s="53" t="s">
        <v>3090</v>
      </c>
      <c r="E535" s="53" t="s">
        <v>3091</v>
      </c>
      <c r="F535" s="53" t="s">
        <v>3092</v>
      </c>
      <c r="I535" s="53" t="s">
        <v>789</v>
      </c>
    </row>
    <row r="536" customFormat="false" ht="11.25" hidden="false" customHeight="true" outlineLevel="0" collapsed="false">
      <c r="A536" s="53" t="s">
        <v>2190</v>
      </c>
      <c r="B536" s="53" t="s">
        <v>14</v>
      </c>
      <c r="C536" s="53" t="s">
        <v>3093</v>
      </c>
      <c r="D536" s="53" t="s">
        <v>3094</v>
      </c>
      <c r="E536" s="53" t="s">
        <v>3095</v>
      </c>
      <c r="F536" s="53" t="s">
        <v>3096</v>
      </c>
      <c r="H536" s="53" t="s">
        <v>2214</v>
      </c>
      <c r="I536" s="53" t="s">
        <v>789</v>
      </c>
    </row>
    <row r="537" customFormat="false" ht="11.25" hidden="false" customHeight="true" outlineLevel="0" collapsed="false">
      <c r="A537" s="53" t="s">
        <v>2190</v>
      </c>
      <c r="B537" s="53" t="s">
        <v>14</v>
      </c>
      <c r="C537" s="53" t="s">
        <v>3097</v>
      </c>
      <c r="D537" s="53" t="s">
        <v>3098</v>
      </c>
      <c r="E537" s="53" t="s">
        <v>2662</v>
      </c>
      <c r="F537" s="53" t="s">
        <v>2194</v>
      </c>
      <c r="H537" s="53" t="s">
        <v>2704</v>
      </c>
      <c r="I537" s="53" t="s">
        <v>789</v>
      </c>
    </row>
    <row r="538" customFormat="false" ht="11.25" hidden="false" customHeight="true" outlineLevel="0" collapsed="false">
      <c r="A538" s="53" t="s">
        <v>2190</v>
      </c>
      <c r="B538" s="53" t="s">
        <v>14</v>
      </c>
      <c r="C538" s="53" t="s">
        <v>3099</v>
      </c>
      <c r="D538" s="53" t="s">
        <v>3100</v>
      </c>
      <c r="E538" s="53" t="s">
        <v>2662</v>
      </c>
      <c r="F538" s="53" t="s">
        <v>3101</v>
      </c>
      <c r="I538" s="53" t="s">
        <v>789</v>
      </c>
    </row>
    <row r="539" customFormat="false" ht="11.25" hidden="false" customHeight="true" outlineLevel="0" collapsed="false">
      <c r="A539" s="53" t="s">
        <v>2190</v>
      </c>
      <c r="B539" s="53" t="s">
        <v>14</v>
      </c>
      <c r="C539" s="53" t="s">
        <v>3105</v>
      </c>
      <c r="D539" s="53" t="s">
        <v>3106</v>
      </c>
      <c r="E539" s="53" t="s">
        <v>3107</v>
      </c>
      <c r="F539" s="53" t="s">
        <v>2208</v>
      </c>
      <c r="H539" s="53" t="s">
        <v>3108</v>
      </c>
      <c r="I539" s="53" t="s">
        <v>789</v>
      </c>
    </row>
    <row r="540" customFormat="false" ht="11.25" hidden="false" customHeight="true" outlineLevel="0" collapsed="false">
      <c r="A540" s="53" t="s">
        <v>2190</v>
      </c>
      <c r="B540" s="53" t="s">
        <v>14</v>
      </c>
      <c r="C540" s="53" t="s">
        <v>3418</v>
      </c>
      <c r="D540" s="53" t="s">
        <v>3419</v>
      </c>
      <c r="E540" s="53" t="s">
        <v>2292</v>
      </c>
      <c r="F540" s="53" t="s">
        <v>3420</v>
      </c>
      <c r="H540" s="53" t="s">
        <v>3421</v>
      </c>
      <c r="I540" s="53" t="s">
        <v>789</v>
      </c>
    </row>
    <row r="541" customFormat="false" ht="11.25" hidden="false" customHeight="true" outlineLevel="0" collapsed="false">
      <c r="A541" s="53" t="s">
        <v>2190</v>
      </c>
      <c r="B541" s="53" t="s">
        <v>14</v>
      </c>
      <c r="C541" s="53" t="s">
        <v>2195</v>
      </c>
      <c r="D541" s="53" t="s">
        <v>2196</v>
      </c>
      <c r="E541" s="53" t="s">
        <v>2197</v>
      </c>
      <c r="F541" s="53" t="s">
        <v>2198</v>
      </c>
      <c r="G541" s="53" t="s">
        <v>2199</v>
      </c>
      <c r="I541" s="53" t="s">
        <v>844</v>
      </c>
    </row>
    <row r="542" customFormat="false" ht="11.25" hidden="false" customHeight="true" outlineLevel="0" collapsed="false">
      <c r="A542" s="53" t="s">
        <v>2190</v>
      </c>
      <c r="B542" s="53" t="s">
        <v>14</v>
      </c>
      <c r="C542" s="53" t="s">
        <v>2200</v>
      </c>
      <c r="D542" s="53" t="s">
        <v>2201</v>
      </c>
      <c r="E542" s="53" t="s">
        <v>2202</v>
      </c>
      <c r="F542" s="53" t="s">
        <v>2203</v>
      </c>
      <c r="G542" s="53" t="s">
        <v>2204</v>
      </c>
      <c r="I542" s="53" t="s">
        <v>844</v>
      </c>
    </row>
    <row r="543" customFormat="false" ht="11.25" hidden="false" customHeight="true" outlineLevel="0" collapsed="false">
      <c r="A543" s="53" t="s">
        <v>2190</v>
      </c>
      <c r="B543" s="53" t="s">
        <v>14</v>
      </c>
      <c r="C543" s="53" t="s">
        <v>2215</v>
      </c>
      <c r="D543" s="53" t="s">
        <v>2216</v>
      </c>
      <c r="E543" s="53" t="s">
        <v>2217</v>
      </c>
      <c r="F543" s="53" t="s">
        <v>2218</v>
      </c>
      <c r="I543" s="53" t="s">
        <v>844</v>
      </c>
    </row>
    <row r="544" customFormat="false" ht="11.25" hidden="false" customHeight="true" outlineLevel="0" collapsed="false">
      <c r="A544" s="53" t="s">
        <v>2190</v>
      </c>
      <c r="B544" s="53" t="s">
        <v>14</v>
      </c>
      <c r="C544" s="53" t="s">
        <v>2219</v>
      </c>
      <c r="D544" s="53" t="s">
        <v>2220</v>
      </c>
      <c r="E544" s="53" t="s">
        <v>2221</v>
      </c>
      <c r="F544" s="53" t="s">
        <v>2222</v>
      </c>
      <c r="I544" s="53" t="s">
        <v>844</v>
      </c>
    </row>
    <row r="545" customFormat="false" ht="11.25" hidden="false" customHeight="true" outlineLevel="0" collapsed="false">
      <c r="A545" s="53" t="s">
        <v>2190</v>
      </c>
      <c r="B545" s="53" t="s">
        <v>14</v>
      </c>
      <c r="C545" s="53" t="s">
        <v>3167</v>
      </c>
      <c r="D545" s="53" t="s">
        <v>3168</v>
      </c>
      <c r="E545" s="53" t="s">
        <v>3169</v>
      </c>
      <c r="F545" s="53" t="s">
        <v>2258</v>
      </c>
      <c r="I545" s="53" t="s">
        <v>844</v>
      </c>
    </row>
    <row r="546" customFormat="false" ht="11.25" hidden="false" customHeight="true" outlineLevel="0" collapsed="false">
      <c r="A546" s="53" t="s">
        <v>2190</v>
      </c>
      <c r="B546" s="53" t="s">
        <v>14</v>
      </c>
      <c r="C546" s="53" t="s">
        <v>2227</v>
      </c>
      <c r="D546" s="53" t="s">
        <v>2228</v>
      </c>
      <c r="E546" s="53" t="s">
        <v>2229</v>
      </c>
      <c r="F546" s="53" t="s">
        <v>2230</v>
      </c>
      <c r="I546" s="53" t="s">
        <v>844</v>
      </c>
    </row>
    <row r="547" customFormat="false" ht="11.25" hidden="false" customHeight="true" outlineLevel="0" collapsed="false">
      <c r="A547" s="53" t="s">
        <v>2190</v>
      </c>
      <c r="B547" s="53" t="s">
        <v>14</v>
      </c>
      <c r="C547" s="53" t="s">
        <v>2235</v>
      </c>
      <c r="D547" s="53" t="s">
        <v>2236</v>
      </c>
      <c r="E547" s="53" t="s">
        <v>2237</v>
      </c>
      <c r="F547" s="53" t="s">
        <v>2238</v>
      </c>
      <c r="I547" s="53" t="s">
        <v>844</v>
      </c>
    </row>
    <row r="548" customFormat="false" ht="11.25" hidden="false" customHeight="true" outlineLevel="0" collapsed="false">
      <c r="A548" s="53" t="s">
        <v>2190</v>
      </c>
      <c r="B548" s="53" t="s">
        <v>14</v>
      </c>
      <c r="C548" s="53" t="s">
        <v>2243</v>
      </c>
      <c r="D548" s="53" t="s">
        <v>2244</v>
      </c>
      <c r="E548" s="53" t="s">
        <v>2245</v>
      </c>
      <c r="F548" s="53" t="s">
        <v>2208</v>
      </c>
      <c r="I548" s="53" t="s">
        <v>844</v>
      </c>
    </row>
    <row r="549" customFormat="false" ht="11.25" hidden="false" customHeight="true" outlineLevel="0" collapsed="false">
      <c r="A549" s="53" t="s">
        <v>2190</v>
      </c>
      <c r="B549" s="53" t="s">
        <v>14</v>
      </c>
      <c r="C549" s="53" t="s">
        <v>3170</v>
      </c>
      <c r="D549" s="53" t="s">
        <v>3171</v>
      </c>
      <c r="E549" s="53" t="s">
        <v>3172</v>
      </c>
      <c r="F549" s="53" t="s">
        <v>2405</v>
      </c>
      <c r="I549" s="53" t="s">
        <v>844</v>
      </c>
    </row>
    <row r="550" customFormat="false" ht="11.25" hidden="false" customHeight="true" outlineLevel="0" collapsed="false">
      <c r="A550" s="53" t="s">
        <v>2190</v>
      </c>
      <c r="B550" s="53" t="s">
        <v>14</v>
      </c>
      <c r="C550" s="53" t="s">
        <v>3422</v>
      </c>
      <c r="D550" s="53" t="s">
        <v>3423</v>
      </c>
      <c r="E550" s="53" t="s">
        <v>3424</v>
      </c>
      <c r="F550" s="53" t="s">
        <v>2254</v>
      </c>
      <c r="I550" s="53" t="s">
        <v>844</v>
      </c>
    </row>
    <row r="551" customFormat="false" ht="11.25" hidden="false" customHeight="true" outlineLevel="0" collapsed="false">
      <c r="A551" s="53" t="s">
        <v>2190</v>
      </c>
      <c r="B551" s="53" t="s">
        <v>14</v>
      </c>
      <c r="C551" s="53" t="s">
        <v>2266</v>
      </c>
      <c r="D551" s="53" t="s">
        <v>2267</v>
      </c>
      <c r="E551" s="53" t="s">
        <v>2268</v>
      </c>
      <c r="F551" s="53" t="s">
        <v>2234</v>
      </c>
      <c r="G551" s="53" t="s">
        <v>2269</v>
      </c>
      <c r="I551" s="53" t="s">
        <v>844</v>
      </c>
    </row>
    <row r="552" customFormat="false" ht="11.25" hidden="false" customHeight="true" outlineLevel="0" collapsed="false">
      <c r="A552" s="53" t="s">
        <v>2190</v>
      </c>
      <c r="B552" s="53" t="s">
        <v>14</v>
      </c>
      <c r="C552" s="53" t="s">
        <v>2270</v>
      </c>
      <c r="D552" s="53" t="s">
        <v>2271</v>
      </c>
      <c r="E552" s="53" t="s">
        <v>2272</v>
      </c>
      <c r="F552" s="53" t="s">
        <v>2226</v>
      </c>
      <c r="I552" s="53" t="s">
        <v>844</v>
      </c>
    </row>
    <row r="553" customFormat="false" ht="11.25" hidden="false" customHeight="true" outlineLevel="0" collapsed="false">
      <c r="A553" s="53" t="s">
        <v>2190</v>
      </c>
      <c r="B553" s="53" t="s">
        <v>14</v>
      </c>
      <c r="C553" s="53" t="s">
        <v>3173</v>
      </c>
      <c r="D553" s="53" t="s">
        <v>3174</v>
      </c>
      <c r="E553" s="53" t="s">
        <v>2714</v>
      </c>
      <c r="F553" s="53" t="s">
        <v>2254</v>
      </c>
      <c r="I553" s="53" t="s">
        <v>844</v>
      </c>
    </row>
    <row r="554" customFormat="false" ht="11.25" hidden="false" customHeight="true" outlineLevel="0" collapsed="false">
      <c r="A554" s="53" t="s">
        <v>2190</v>
      </c>
      <c r="B554" s="53" t="s">
        <v>14</v>
      </c>
      <c r="C554" s="53" t="s">
        <v>2280</v>
      </c>
      <c r="D554" s="53" t="s">
        <v>2281</v>
      </c>
      <c r="E554" s="53" t="s">
        <v>2282</v>
      </c>
      <c r="F554" s="53" t="s">
        <v>48</v>
      </c>
      <c r="I554" s="53" t="s">
        <v>844</v>
      </c>
    </row>
    <row r="555" customFormat="false" ht="11.25" hidden="false" customHeight="true" outlineLevel="0" collapsed="false">
      <c r="A555" s="53" t="s">
        <v>2190</v>
      </c>
      <c r="B555" s="53" t="s">
        <v>14</v>
      </c>
      <c r="C555" s="53" t="s">
        <v>3175</v>
      </c>
      <c r="D555" s="53" t="s">
        <v>3176</v>
      </c>
      <c r="E555" s="53" t="s">
        <v>3177</v>
      </c>
      <c r="F555" s="53" t="s">
        <v>2226</v>
      </c>
      <c r="I555" s="53" t="s">
        <v>844</v>
      </c>
    </row>
    <row r="556" customFormat="false" ht="11.25" hidden="false" customHeight="true" outlineLevel="0" collapsed="false">
      <c r="A556" s="53" t="s">
        <v>2190</v>
      </c>
      <c r="B556" s="53" t="s">
        <v>14</v>
      </c>
      <c r="C556" s="53" t="s">
        <v>2287</v>
      </c>
      <c r="D556" s="53" t="s">
        <v>2288</v>
      </c>
      <c r="E556" s="53" t="s">
        <v>2289</v>
      </c>
      <c r="F556" s="53" t="s">
        <v>2208</v>
      </c>
      <c r="I556" s="53" t="s">
        <v>844</v>
      </c>
    </row>
    <row r="557" customFormat="false" ht="11.25" hidden="false" customHeight="true" outlineLevel="0" collapsed="false">
      <c r="A557" s="53" t="s">
        <v>2190</v>
      </c>
      <c r="B557" s="53" t="s">
        <v>14</v>
      </c>
      <c r="C557" s="53" t="s">
        <v>3425</v>
      </c>
      <c r="D557" s="53" t="s">
        <v>3426</v>
      </c>
      <c r="E557" s="53" t="s">
        <v>3427</v>
      </c>
      <c r="F557" s="53" t="s">
        <v>2208</v>
      </c>
      <c r="I557" s="53" t="s">
        <v>844</v>
      </c>
    </row>
    <row r="558" customFormat="false" ht="11.25" hidden="false" customHeight="true" outlineLevel="0" collapsed="false">
      <c r="A558" s="53" t="s">
        <v>2190</v>
      </c>
      <c r="B558" s="53" t="s">
        <v>14</v>
      </c>
      <c r="C558" s="53" t="s">
        <v>3428</v>
      </c>
      <c r="D558" s="53" t="s">
        <v>3429</v>
      </c>
      <c r="E558" s="53" t="s">
        <v>3430</v>
      </c>
      <c r="F558" s="53" t="s">
        <v>2258</v>
      </c>
      <c r="G558" s="53" t="s">
        <v>3431</v>
      </c>
      <c r="H558" s="53" t="s">
        <v>3432</v>
      </c>
      <c r="I558" s="53" t="s">
        <v>844</v>
      </c>
    </row>
    <row r="559" customFormat="false" ht="11.25" hidden="false" customHeight="true" outlineLevel="0" collapsed="false">
      <c r="A559" s="53" t="s">
        <v>2190</v>
      </c>
      <c r="B559" s="53" t="s">
        <v>14</v>
      </c>
      <c r="C559" s="53" t="s">
        <v>3433</v>
      </c>
      <c r="D559" s="53" t="s">
        <v>3434</v>
      </c>
      <c r="E559" s="53" t="s">
        <v>3435</v>
      </c>
      <c r="F559" s="53" t="s">
        <v>2258</v>
      </c>
      <c r="I559" s="53" t="s">
        <v>844</v>
      </c>
    </row>
    <row r="560" customFormat="false" ht="11.25" hidden="false" customHeight="true" outlineLevel="0" collapsed="false">
      <c r="A560" s="53" t="s">
        <v>2190</v>
      </c>
      <c r="B560" s="53" t="s">
        <v>14</v>
      </c>
      <c r="C560" s="53" t="s">
        <v>3178</v>
      </c>
      <c r="D560" s="53" t="s">
        <v>3179</v>
      </c>
      <c r="E560" s="53" t="s">
        <v>3180</v>
      </c>
      <c r="F560" s="53" t="s">
        <v>2480</v>
      </c>
      <c r="G560" s="53" t="s">
        <v>3181</v>
      </c>
      <c r="H560" s="53" t="s">
        <v>3182</v>
      </c>
      <c r="I560" s="53" t="s">
        <v>844</v>
      </c>
    </row>
    <row r="561" customFormat="false" ht="11.25" hidden="false" customHeight="true" outlineLevel="0" collapsed="false">
      <c r="A561" s="53" t="s">
        <v>2190</v>
      </c>
      <c r="B561" s="53" t="s">
        <v>14</v>
      </c>
      <c r="C561" s="53" t="s">
        <v>2299</v>
      </c>
      <c r="D561" s="53" t="s">
        <v>2300</v>
      </c>
      <c r="E561" s="53" t="s">
        <v>2301</v>
      </c>
      <c r="F561" s="53" t="s">
        <v>2254</v>
      </c>
      <c r="I561" s="53" t="s">
        <v>844</v>
      </c>
    </row>
    <row r="562" customFormat="false" ht="11.25" hidden="false" customHeight="true" outlineLevel="0" collapsed="false">
      <c r="A562" s="53" t="s">
        <v>2190</v>
      </c>
      <c r="B562" s="53" t="s">
        <v>14</v>
      </c>
      <c r="C562" s="53" t="s">
        <v>2302</v>
      </c>
      <c r="D562" s="53" t="s">
        <v>2303</v>
      </c>
      <c r="E562" s="53" t="s">
        <v>2304</v>
      </c>
      <c r="F562" s="53" t="s">
        <v>48</v>
      </c>
      <c r="I562" s="53" t="s">
        <v>844</v>
      </c>
    </row>
    <row r="563" customFormat="false" ht="11.25" hidden="false" customHeight="true" outlineLevel="0" collapsed="false">
      <c r="A563" s="53" t="s">
        <v>2190</v>
      </c>
      <c r="B563" s="53" t="s">
        <v>14</v>
      </c>
      <c r="C563" s="53" t="s">
        <v>2305</v>
      </c>
      <c r="D563" s="53" t="s">
        <v>2306</v>
      </c>
      <c r="E563" s="53" t="s">
        <v>2307</v>
      </c>
      <c r="F563" s="53" t="s">
        <v>2258</v>
      </c>
      <c r="H563" s="53" t="s">
        <v>2308</v>
      </c>
      <c r="I563" s="53" t="s">
        <v>844</v>
      </c>
    </row>
    <row r="564" customFormat="false" ht="11.25" hidden="false" customHeight="true" outlineLevel="0" collapsed="false">
      <c r="A564" s="53" t="s">
        <v>2190</v>
      </c>
      <c r="B564" s="53" t="s">
        <v>14</v>
      </c>
      <c r="C564" s="53" t="s">
        <v>2386</v>
      </c>
      <c r="D564" s="53" t="s">
        <v>2387</v>
      </c>
      <c r="E564" s="53" t="s">
        <v>2388</v>
      </c>
      <c r="F564" s="53" t="s">
        <v>2389</v>
      </c>
      <c r="I564" s="53" t="s">
        <v>844</v>
      </c>
    </row>
    <row r="565" customFormat="false" ht="11.25" hidden="false" customHeight="true" outlineLevel="0" collapsed="false">
      <c r="A565" s="53" t="s">
        <v>2190</v>
      </c>
      <c r="B565" s="53" t="s">
        <v>14</v>
      </c>
      <c r="C565" s="53" t="s">
        <v>3183</v>
      </c>
      <c r="D565" s="53" t="s">
        <v>3184</v>
      </c>
      <c r="E565" s="53" t="s">
        <v>3185</v>
      </c>
      <c r="F565" s="53" t="s">
        <v>2222</v>
      </c>
      <c r="I565" s="53" t="s">
        <v>844</v>
      </c>
    </row>
    <row r="566" customFormat="false" ht="11.25" hidden="false" customHeight="true" outlineLevel="0" collapsed="false">
      <c r="A566" s="53" t="s">
        <v>2190</v>
      </c>
      <c r="B566" s="53" t="s">
        <v>14</v>
      </c>
      <c r="C566" s="53" t="s">
        <v>2410</v>
      </c>
      <c r="D566" s="53" t="s">
        <v>2411</v>
      </c>
      <c r="E566" s="53" t="s">
        <v>2412</v>
      </c>
      <c r="F566" s="53" t="s">
        <v>2409</v>
      </c>
      <c r="H566" s="53" t="s">
        <v>2413</v>
      </c>
      <c r="I566" s="53" t="s">
        <v>844</v>
      </c>
    </row>
    <row r="567" customFormat="false" ht="11.25" hidden="false" customHeight="true" outlineLevel="0" collapsed="false">
      <c r="A567" s="53" t="s">
        <v>2190</v>
      </c>
      <c r="B567" s="53" t="s">
        <v>14</v>
      </c>
      <c r="C567" s="53" t="s">
        <v>3436</v>
      </c>
      <c r="D567" s="53" t="s">
        <v>2411</v>
      </c>
      <c r="E567" s="53" t="s">
        <v>2412</v>
      </c>
      <c r="F567" s="53" t="s">
        <v>2409</v>
      </c>
      <c r="H567" s="53" t="s">
        <v>3437</v>
      </c>
      <c r="I567" s="53" t="s">
        <v>844</v>
      </c>
    </row>
    <row r="568" customFormat="false" ht="11.25" hidden="false" customHeight="true" outlineLevel="0" collapsed="false">
      <c r="A568" s="53" t="s">
        <v>2190</v>
      </c>
      <c r="B568" s="53" t="s">
        <v>14</v>
      </c>
      <c r="C568" s="53" t="s">
        <v>2433</v>
      </c>
      <c r="D568" s="53" t="s">
        <v>2434</v>
      </c>
      <c r="E568" s="53" t="s">
        <v>2435</v>
      </c>
      <c r="F568" s="53" t="s">
        <v>48</v>
      </c>
      <c r="H568" s="53" t="s">
        <v>2214</v>
      </c>
      <c r="I568" s="53" t="s">
        <v>844</v>
      </c>
    </row>
    <row r="569" customFormat="false" ht="11.25" hidden="false" customHeight="true" outlineLevel="0" collapsed="false">
      <c r="A569" s="53" t="s">
        <v>2190</v>
      </c>
      <c r="B569" s="53" t="s">
        <v>14</v>
      </c>
      <c r="C569" s="53" t="s">
        <v>2436</v>
      </c>
      <c r="D569" s="53" t="s">
        <v>2437</v>
      </c>
      <c r="E569" s="53" t="s">
        <v>2438</v>
      </c>
      <c r="F569" s="53" t="s">
        <v>48</v>
      </c>
      <c r="I569" s="53" t="s">
        <v>844</v>
      </c>
    </row>
    <row r="570" customFormat="false" ht="11.25" hidden="false" customHeight="true" outlineLevel="0" collapsed="false">
      <c r="A570" s="53" t="s">
        <v>2190</v>
      </c>
      <c r="B570" s="53" t="s">
        <v>14</v>
      </c>
      <c r="C570" s="53" t="s">
        <v>3186</v>
      </c>
      <c r="D570" s="53" t="s">
        <v>3187</v>
      </c>
      <c r="E570" s="53" t="s">
        <v>3188</v>
      </c>
      <c r="F570" s="53" t="s">
        <v>596</v>
      </c>
      <c r="H570" s="53" t="s">
        <v>3189</v>
      </c>
      <c r="I570" s="53" t="s">
        <v>844</v>
      </c>
    </row>
    <row r="571" customFormat="false" ht="11.25" hidden="false" customHeight="true" outlineLevel="0" collapsed="false">
      <c r="A571" s="53" t="s">
        <v>2190</v>
      </c>
      <c r="B571" s="53" t="s">
        <v>14</v>
      </c>
      <c r="C571" s="53" t="s">
        <v>2439</v>
      </c>
      <c r="D571" s="53" t="s">
        <v>2440</v>
      </c>
      <c r="E571" s="53" t="s">
        <v>2441</v>
      </c>
      <c r="F571" s="53" t="s">
        <v>2442</v>
      </c>
      <c r="I571" s="53" t="s">
        <v>844</v>
      </c>
    </row>
    <row r="572" customFormat="false" ht="11.25" hidden="false" customHeight="true" outlineLevel="0" collapsed="false">
      <c r="A572" s="53" t="s">
        <v>2190</v>
      </c>
      <c r="B572" s="53" t="s">
        <v>14</v>
      </c>
      <c r="C572" s="53" t="s">
        <v>3190</v>
      </c>
      <c r="D572" s="53" t="s">
        <v>3191</v>
      </c>
      <c r="E572" s="53" t="s">
        <v>3192</v>
      </c>
      <c r="F572" s="53" t="s">
        <v>2427</v>
      </c>
      <c r="H572" s="53" t="s">
        <v>3193</v>
      </c>
      <c r="I572" s="53" t="s">
        <v>844</v>
      </c>
    </row>
    <row r="573" customFormat="false" ht="11.25" hidden="false" customHeight="true" outlineLevel="0" collapsed="false">
      <c r="A573" s="53" t="s">
        <v>2190</v>
      </c>
      <c r="B573" s="53" t="s">
        <v>14</v>
      </c>
      <c r="C573" s="53" t="s">
        <v>2448</v>
      </c>
      <c r="D573" s="53" t="s">
        <v>2449</v>
      </c>
      <c r="E573" s="53" t="s">
        <v>2450</v>
      </c>
      <c r="F573" s="53" t="s">
        <v>2254</v>
      </c>
      <c r="G573" s="53" t="s">
        <v>2451</v>
      </c>
      <c r="H573" s="53" t="s">
        <v>2452</v>
      </c>
      <c r="I573" s="53" t="s">
        <v>844</v>
      </c>
    </row>
    <row r="574" customFormat="false" ht="11.25" hidden="false" customHeight="true" outlineLevel="0" collapsed="false">
      <c r="A574" s="53" t="s">
        <v>2190</v>
      </c>
      <c r="B574" s="53" t="s">
        <v>14</v>
      </c>
      <c r="D574" s="53" t="s">
        <v>2453</v>
      </c>
      <c r="E574" s="53" t="s">
        <v>2454</v>
      </c>
      <c r="F574" s="53" t="s">
        <v>2258</v>
      </c>
      <c r="I574" s="53" t="s">
        <v>844</v>
      </c>
    </row>
    <row r="575" customFormat="false" ht="11.25" hidden="false" customHeight="true" outlineLevel="0" collapsed="false">
      <c r="A575" s="53" t="s">
        <v>2190</v>
      </c>
      <c r="B575" s="53" t="s">
        <v>14</v>
      </c>
      <c r="C575" s="53" t="s">
        <v>3194</v>
      </c>
      <c r="D575" s="53" t="s">
        <v>3195</v>
      </c>
      <c r="E575" s="53" t="s">
        <v>3196</v>
      </c>
      <c r="F575" s="53" t="s">
        <v>3197</v>
      </c>
      <c r="H575" s="53" t="s">
        <v>2697</v>
      </c>
      <c r="I575" s="53" t="s">
        <v>844</v>
      </c>
    </row>
    <row r="576" customFormat="false" ht="11.25" hidden="false" customHeight="true" outlineLevel="0" collapsed="false">
      <c r="A576" s="53" t="s">
        <v>2190</v>
      </c>
      <c r="B576" s="53" t="s">
        <v>14</v>
      </c>
      <c r="C576" s="53" t="s">
        <v>3198</v>
      </c>
      <c r="D576" s="53" t="s">
        <v>3199</v>
      </c>
      <c r="E576" s="53" t="s">
        <v>3200</v>
      </c>
      <c r="F576" s="53" t="s">
        <v>2409</v>
      </c>
      <c r="G576" s="53" t="s">
        <v>3201</v>
      </c>
      <c r="I576" s="53" t="s">
        <v>844</v>
      </c>
    </row>
    <row r="577" customFormat="false" ht="11.25" hidden="false" customHeight="true" outlineLevel="0" collapsed="false">
      <c r="A577" s="53" t="s">
        <v>2190</v>
      </c>
      <c r="B577" s="53" t="s">
        <v>14</v>
      </c>
      <c r="C577" s="53" t="s">
        <v>3438</v>
      </c>
      <c r="D577" s="53" t="s">
        <v>3439</v>
      </c>
      <c r="E577" s="53" t="s">
        <v>3440</v>
      </c>
      <c r="F577" s="53" t="s">
        <v>2409</v>
      </c>
      <c r="I577" s="53" t="s">
        <v>844</v>
      </c>
    </row>
    <row r="578" customFormat="false" ht="11.25" hidden="false" customHeight="true" outlineLevel="0" collapsed="false">
      <c r="A578" s="53" t="s">
        <v>2190</v>
      </c>
      <c r="B578" s="53" t="s">
        <v>14</v>
      </c>
      <c r="C578" s="53" t="s">
        <v>3202</v>
      </c>
      <c r="D578" s="53" t="s">
        <v>3203</v>
      </c>
      <c r="E578" s="53" t="s">
        <v>3204</v>
      </c>
      <c r="F578" s="53" t="s">
        <v>2405</v>
      </c>
      <c r="H578" s="53" t="s">
        <v>3205</v>
      </c>
      <c r="I578" s="53" t="s">
        <v>844</v>
      </c>
    </row>
    <row r="579" customFormat="false" ht="11.25" hidden="false" customHeight="true" outlineLevel="0" collapsed="false">
      <c r="A579" s="53" t="s">
        <v>2190</v>
      </c>
      <c r="B579" s="53" t="s">
        <v>14</v>
      </c>
      <c r="C579" s="53" t="s">
        <v>3206</v>
      </c>
      <c r="D579" s="53" t="s">
        <v>3207</v>
      </c>
      <c r="E579" s="53" t="s">
        <v>3208</v>
      </c>
      <c r="F579" s="53" t="s">
        <v>2262</v>
      </c>
      <c r="H579" s="53" t="s">
        <v>2452</v>
      </c>
      <c r="I579" s="53" t="s">
        <v>844</v>
      </c>
    </row>
    <row r="580" customFormat="false" ht="11.25" hidden="false" customHeight="true" outlineLevel="0" collapsed="false">
      <c r="A580" s="53" t="s">
        <v>2190</v>
      </c>
      <c r="B580" s="53" t="s">
        <v>14</v>
      </c>
      <c r="C580" s="53" t="s">
        <v>3209</v>
      </c>
      <c r="D580" s="53" t="s">
        <v>3207</v>
      </c>
      <c r="E580" s="53" t="s">
        <v>3210</v>
      </c>
      <c r="F580" s="53" t="s">
        <v>2427</v>
      </c>
      <c r="H580" s="53" t="s">
        <v>2844</v>
      </c>
      <c r="I580" s="53" t="s">
        <v>844</v>
      </c>
    </row>
    <row r="581" customFormat="false" ht="11.25" hidden="false" customHeight="true" outlineLevel="0" collapsed="false">
      <c r="A581" s="53" t="s">
        <v>2190</v>
      </c>
      <c r="B581" s="53" t="s">
        <v>14</v>
      </c>
      <c r="C581" s="53" t="s">
        <v>3211</v>
      </c>
      <c r="D581" s="53" t="s">
        <v>3212</v>
      </c>
      <c r="E581" s="53" t="s">
        <v>3213</v>
      </c>
      <c r="F581" s="53" t="s">
        <v>2405</v>
      </c>
      <c r="I581" s="53" t="s">
        <v>844</v>
      </c>
    </row>
    <row r="582" customFormat="false" ht="11.25" hidden="false" customHeight="true" outlineLevel="0" collapsed="false">
      <c r="A582" s="53" t="s">
        <v>2190</v>
      </c>
      <c r="B582" s="53" t="s">
        <v>14</v>
      </c>
      <c r="C582" s="53" t="s">
        <v>2462</v>
      </c>
      <c r="D582" s="53" t="s">
        <v>2463</v>
      </c>
      <c r="E582" s="53" t="s">
        <v>2464</v>
      </c>
      <c r="F582" s="53" t="s">
        <v>2254</v>
      </c>
      <c r="H582" s="53" t="s">
        <v>2452</v>
      </c>
      <c r="I582" s="53" t="s">
        <v>844</v>
      </c>
    </row>
    <row r="583" customFormat="false" ht="11.25" hidden="false" customHeight="true" outlineLevel="0" collapsed="false">
      <c r="A583" s="53" t="s">
        <v>2190</v>
      </c>
      <c r="B583" s="53" t="s">
        <v>14</v>
      </c>
      <c r="C583" s="53" t="s">
        <v>3214</v>
      </c>
      <c r="D583" s="53" t="s">
        <v>3215</v>
      </c>
      <c r="E583" s="53" t="s">
        <v>3216</v>
      </c>
      <c r="F583" s="53" t="s">
        <v>2230</v>
      </c>
      <c r="I583" s="53" t="s">
        <v>844</v>
      </c>
    </row>
    <row r="584" customFormat="false" ht="11.25" hidden="false" customHeight="true" outlineLevel="0" collapsed="false">
      <c r="A584" s="53" t="s">
        <v>2190</v>
      </c>
      <c r="B584" s="53" t="s">
        <v>14</v>
      </c>
      <c r="C584" s="53" t="s">
        <v>3217</v>
      </c>
      <c r="D584" s="53" t="s">
        <v>3218</v>
      </c>
      <c r="E584" s="53" t="s">
        <v>3219</v>
      </c>
      <c r="F584" s="53" t="s">
        <v>2427</v>
      </c>
      <c r="H584" s="53" t="s">
        <v>2697</v>
      </c>
      <c r="I584" s="53" t="s">
        <v>844</v>
      </c>
    </row>
    <row r="585" customFormat="false" ht="11.25" hidden="false" customHeight="true" outlineLevel="0" collapsed="false">
      <c r="A585" s="53" t="s">
        <v>2190</v>
      </c>
      <c r="B585" s="53" t="s">
        <v>14</v>
      </c>
      <c r="C585" s="53" t="s">
        <v>2465</v>
      </c>
      <c r="D585" s="53" t="s">
        <v>2466</v>
      </c>
      <c r="E585" s="53" t="s">
        <v>2467</v>
      </c>
      <c r="F585" s="53" t="s">
        <v>2468</v>
      </c>
      <c r="I585" s="53" t="s">
        <v>844</v>
      </c>
    </row>
    <row r="586" customFormat="false" ht="11.25" hidden="false" customHeight="true" outlineLevel="0" collapsed="false">
      <c r="A586" s="53" t="s">
        <v>2190</v>
      </c>
      <c r="B586" s="53" t="s">
        <v>14</v>
      </c>
      <c r="C586" s="53" t="s">
        <v>2469</v>
      </c>
      <c r="D586" s="53" t="s">
        <v>2470</v>
      </c>
      <c r="E586" s="53" t="s">
        <v>2471</v>
      </c>
      <c r="F586" s="53" t="s">
        <v>2472</v>
      </c>
      <c r="I586" s="53" t="s">
        <v>844</v>
      </c>
    </row>
    <row r="587" customFormat="false" ht="11.25" hidden="false" customHeight="true" outlineLevel="0" collapsed="false">
      <c r="A587" s="53" t="s">
        <v>2190</v>
      </c>
      <c r="B587" s="53" t="s">
        <v>14</v>
      </c>
      <c r="C587" s="53" t="s">
        <v>3220</v>
      </c>
      <c r="D587" s="53" t="s">
        <v>3221</v>
      </c>
      <c r="E587" s="53" t="s">
        <v>3222</v>
      </c>
      <c r="F587" s="53" t="s">
        <v>2230</v>
      </c>
      <c r="G587" s="53" t="s">
        <v>3223</v>
      </c>
      <c r="I587" s="53" t="s">
        <v>844</v>
      </c>
    </row>
    <row r="588" customFormat="false" ht="11.25" hidden="false" customHeight="true" outlineLevel="0" collapsed="false">
      <c r="A588" s="53" t="s">
        <v>2190</v>
      </c>
      <c r="B588" s="53" t="s">
        <v>14</v>
      </c>
      <c r="C588" s="53" t="s">
        <v>3224</v>
      </c>
      <c r="D588" s="53" t="s">
        <v>3225</v>
      </c>
      <c r="E588" s="53" t="s">
        <v>3226</v>
      </c>
      <c r="F588" s="53" t="s">
        <v>2409</v>
      </c>
      <c r="G588" s="53" t="s">
        <v>3227</v>
      </c>
      <c r="I588" s="53" t="s">
        <v>844</v>
      </c>
    </row>
    <row r="589" customFormat="false" ht="11.25" hidden="false" customHeight="true" outlineLevel="0" collapsed="false">
      <c r="A589" s="53" t="s">
        <v>2190</v>
      </c>
      <c r="B589" s="53" t="s">
        <v>14</v>
      </c>
      <c r="C589" s="53" t="s">
        <v>3228</v>
      </c>
      <c r="D589" s="53" t="s">
        <v>3229</v>
      </c>
      <c r="E589" s="53" t="s">
        <v>3230</v>
      </c>
      <c r="F589" s="53" t="s">
        <v>2208</v>
      </c>
      <c r="H589" s="53" t="s">
        <v>3231</v>
      </c>
      <c r="I589" s="53" t="s">
        <v>844</v>
      </c>
    </row>
    <row r="590" customFormat="false" ht="11.25" hidden="false" customHeight="true" outlineLevel="0" collapsed="false">
      <c r="A590" s="53" t="s">
        <v>2190</v>
      </c>
      <c r="B590" s="53" t="s">
        <v>14</v>
      </c>
      <c r="C590" s="53" t="s">
        <v>2477</v>
      </c>
      <c r="D590" s="53" t="s">
        <v>2478</v>
      </c>
      <c r="E590" s="53" t="s">
        <v>2479</v>
      </c>
      <c r="F590" s="53" t="s">
        <v>2480</v>
      </c>
      <c r="I590" s="53" t="s">
        <v>844</v>
      </c>
    </row>
    <row r="591" customFormat="false" ht="11.25" hidden="false" customHeight="true" outlineLevel="0" collapsed="false">
      <c r="A591" s="53" t="s">
        <v>2190</v>
      </c>
      <c r="B591" s="53" t="s">
        <v>14</v>
      </c>
      <c r="C591" s="53" t="s">
        <v>2495</v>
      </c>
      <c r="D591" s="53" t="s">
        <v>2496</v>
      </c>
      <c r="E591" s="53" t="s">
        <v>2497</v>
      </c>
      <c r="F591" s="53" t="s">
        <v>2258</v>
      </c>
      <c r="H591" s="53" t="s">
        <v>2498</v>
      </c>
      <c r="I591" s="53" t="s">
        <v>844</v>
      </c>
    </row>
    <row r="592" customFormat="false" ht="11.25" hidden="false" customHeight="true" outlineLevel="0" collapsed="false">
      <c r="A592" s="53" t="s">
        <v>2190</v>
      </c>
      <c r="B592" s="53" t="s">
        <v>14</v>
      </c>
      <c r="C592" s="53" t="s">
        <v>3232</v>
      </c>
      <c r="D592" s="53" t="s">
        <v>3233</v>
      </c>
      <c r="E592" s="53" t="s">
        <v>3234</v>
      </c>
      <c r="F592" s="53" t="s">
        <v>2230</v>
      </c>
      <c r="I592" s="53" t="s">
        <v>844</v>
      </c>
    </row>
    <row r="593" customFormat="false" ht="11.25" hidden="false" customHeight="true" outlineLevel="0" collapsed="false">
      <c r="A593" s="53" t="s">
        <v>2190</v>
      </c>
      <c r="B593" s="53" t="s">
        <v>14</v>
      </c>
      <c r="C593" s="53" t="s">
        <v>2499</v>
      </c>
      <c r="D593" s="53" t="s">
        <v>2500</v>
      </c>
      <c r="E593" s="53" t="s">
        <v>2501</v>
      </c>
      <c r="F593" s="53" t="s">
        <v>2230</v>
      </c>
      <c r="I593" s="53" t="s">
        <v>844</v>
      </c>
    </row>
    <row r="594" customFormat="false" ht="11.25" hidden="false" customHeight="true" outlineLevel="0" collapsed="false">
      <c r="A594" s="53" t="s">
        <v>2190</v>
      </c>
      <c r="B594" s="53" t="s">
        <v>14</v>
      </c>
      <c r="C594" s="53" t="s">
        <v>2512</v>
      </c>
      <c r="D594" s="53" t="s">
        <v>2513</v>
      </c>
      <c r="E594" s="53" t="s">
        <v>2514</v>
      </c>
      <c r="F594" s="53" t="s">
        <v>2427</v>
      </c>
      <c r="H594" s="53" t="s">
        <v>2398</v>
      </c>
      <c r="I594" s="53" t="s">
        <v>844</v>
      </c>
    </row>
    <row r="595" customFormat="false" ht="11.25" hidden="false" customHeight="true" outlineLevel="0" collapsed="false">
      <c r="A595" s="53" t="s">
        <v>2190</v>
      </c>
      <c r="B595" s="53" t="s">
        <v>14</v>
      </c>
      <c r="C595" s="53" t="s">
        <v>2519</v>
      </c>
      <c r="D595" s="53" t="s">
        <v>2513</v>
      </c>
      <c r="E595" s="53" t="s">
        <v>2520</v>
      </c>
      <c r="F595" s="53" t="s">
        <v>2521</v>
      </c>
      <c r="H595" s="53" t="s">
        <v>2522</v>
      </c>
      <c r="I595" s="53" t="s">
        <v>844</v>
      </c>
    </row>
    <row r="596" customFormat="false" ht="11.25" hidden="false" customHeight="true" outlineLevel="0" collapsed="false">
      <c r="A596" s="53" t="s">
        <v>2190</v>
      </c>
      <c r="B596" s="53" t="s">
        <v>14</v>
      </c>
      <c r="C596" s="53" t="s">
        <v>2536</v>
      </c>
      <c r="D596" s="53" t="s">
        <v>2537</v>
      </c>
      <c r="E596" s="53" t="s">
        <v>2538</v>
      </c>
      <c r="F596" s="53" t="s">
        <v>2427</v>
      </c>
      <c r="I596" s="53" t="s">
        <v>844</v>
      </c>
    </row>
    <row r="597" customFormat="false" ht="11.25" hidden="false" customHeight="true" outlineLevel="0" collapsed="false">
      <c r="A597" s="53" t="s">
        <v>2190</v>
      </c>
      <c r="B597" s="53" t="s">
        <v>14</v>
      </c>
      <c r="C597" s="53" t="s">
        <v>2543</v>
      </c>
      <c r="D597" s="53" t="s">
        <v>2544</v>
      </c>
      <c r="E597" s="53" t="s">
        <v>2545</v>
      </c>
      <c r="F597" s="53" t="s">
        <v>2546</v>
      </c>
      <c r="H597" s="53" t="s">
        <v>2547</v>
      </c>
      <c r="I597" s="53" t="s">
        <v>844</v>
      </c>
    </row>
    <row r="598" customFormat="false" ht="11.25" hidden="false" customHeight="true" outlineLevel="0" collapsed="false">
      <c r="A598" s="53" t="s">
        <v>2190</v>
      </c>
      <c r="B598" s="53" t="s">
        <v>14</v>
      </c>
      <c r="C598" s="53" t="s">
        <v>2548</v>
      </c>
      <c r="D598" s="53" t="s">
        <v>2544</v>
      </c>
      <c r="E598" s="53" t="s">
        <v>2545</v>
      </c>
      <c r="F598" s="53" t="s">
        <v>2546</v>
      </c>
      <c r="I598" s="53" t="s">
        <v>844</v>
      </c>
    </row>
    <row r="599" customFormat="false" ht="11.25" hidden="false" customHeight="true" outlineLevel="0" collapsed="false">
      <c r="A599" s="53" t="s">
        <v>2190</v>
      </c>
      <c r="B599" s="53" t="s">
        <v>14</v>
      </c>
      <c r="C599" s="53" t="s">
        <v>2556</v>
      </c>
      <c r="D599" s="53" t="s">
        <v>2557</v>
      </c>
      <c r="E599" s="53" t="s">
        <v>2558</v>
      </c>
      <c r="F599" s="53" t="s">
        <v>2472</v>
      </c>
      <c r="H599" s="53" t="s">
        <v>2559</v>
      </c>
      <c r="I599" s="53" t="s">
        <v>844</v>
      </c>
    </row>
    <row r="600" customFormat="false" ht="11.25" hidden="false" customHeight="true" outlineLevel="0" collapsed="false">
      <c r="A600" s="53" t="s">
        <v>2190</v>
      </c>
      <c r="B600" s="53" t="s">
        <v>14</v>
      </c>
      <c r="C600" s="53" t="s">
        <v>2560</v>
      </c>
      <c r="D600" s="53" t="s">
        <v>2561</v>
      </c>
      <c r="E600" s="53" t="s">
        <v>2562</v>
      </c>
      <c r="F600" s="53" t="s">
        <v>2405</v>
      </c>
      <c r="I600" s="53" t="s">
        <v>844</v>
      </c>
    </row>
    <row r="601" customFormat="false" ht="11.25" hidden="false" customHeight="true" outlineLevel="0" collapsed="false">
      <c r="A601" s="53" t="s">
        <v>2190</v>
      </c>
      <c r="B601" s="53" t="s">
        <v>14</v>
      </c>
      <c r="C601" s="53" t="s">
        <v>2563</v>
      </c>
      <c r="D601" s="53" t="s">
        <v>2564</v>
      </c>
      <c r="E601" s="53" t="s">
        <v>2565</v>
      </c>
      <c r="F601" s="53" t="s">
        <v>2405</v>
      </c>
      <c r="H601" s="53" t="s">
        <v>2566</v>
      </c>
      <c r="I601" s="53" t="s">
        <v>844</v>
      </c>
    </row>
    <row r="602" customFormat="false" ht="11.25" hidden="false" customHeight="true" outlineLevel="0" collapsed="false">
      <c r="A602" s="53" t="s">
        <v>2190</v>
      </c>
      <c r="B602" s="53" t="s">
        <v>14</v>
      </c>
      <c r="C602" s="53" t="s">
        <v>2567</v>
      </c>
      <c r="D602" s="53" t="s">
        <v>2568</v>
      </c>
      <c r="E602" s="53" t="s">
        <v>2569</v>
      </c>
      <c r="F602" s="53" t="s">
        <v>2405</v>
      </c>
      <c r="H602" s="53" t="s">
        <v>2570</v>
      </c>
      <c r="I602" s="53" t="s">
        <v>844</v>
      </c>
    </row>
    <row r="603" customFormat="false" ht="11.25" hidden="false" customHeight="true" outlineLevel="0" collapsed="false">
      <c r="A603" s="53" t="s">
        <v>2190</v>
      </c>
      <c r="B603" s="53" t="s">
        <v>14</v>
      </c>
      <c r="C603" s="53" t="s">
        <v>2586</v>
      </c>
      <c r="D603" s="53" t="s">
        <v>2587</v>
      </c>
      <c r="E603" s="53" t="s">
        <v>2588</v>
      </c>
      <c r="F603" s="53" t="s">
        <v>2254</v>
      </c>
      <c r="I603" s="53" t="s">
        <v>844</v>
      </c>
    </row>
    <row r="604" customFormat="false" ht="11.25" hidden="false" customHeight="true" outlineLevel="0" collapsed="false">
      <c r="A604" s="53" t="s">
        <v>2190</v>
      </c>
      <c r="B604" s="53" t="s">
        <v>14</v>
      </c>
      <c r="C604" s="53" t="s">
        <v>2592</v>
      </c>
      <c r="D604" s="53" t="s">
        <v>2593</v>
      </c>
      <c r="E604" s="53" t="s">
        <v>2594</v>
      </c>
      <c r="F604" s="53" t="s">
        <v>2262</v>
      </c>
      <c r="H604" s="53" t="s">
        <v>2498</v>
      </c>
      <c r="I604" s="53" t="s">
        <v>844</v>
      </c>
    </row>
    <row r="605" customFormat="false" ht="11.25" hidden="false" customHeight="true" outlineLevel="0" collapsed="false">
      <c r="A605" s="53" t="s">
        <v>2190</v>
      </c>
      <c r="B605" s="53" t="s">
        <v>14</v>
      </c>
      <c r="C605" s="53" t="s">
        <v>2595</v>
      </c>
      <c r="D605" s="53" t="s">
        <v>2596</v>
      </c>
      <c r="E605" s="53" t="s">
        <v>2597</v>
      </c>
      <c r="F605" s="53" t="s">
        <v>2262</v>
      </c>
      <c r="G605" s="53" t="s">
        <v>2598</v>
      </c>
      <c r="I605" s="53" t="s">
        <v>844</v>
      </c>
    </row>
    <row r="606" customFormat="false" ht="11.25" hidden="false" customHeight="true" outlineLevel="0" collapsed="false">
      <c r="A606" s="53" t="s">
        <v>2190</v>
      </c>
      <c r="B606" s="53" t="s">
        <v>14</v>
      </c>
      <c r="C606" s="53" t="s">
        <v>2599</v>
      </c>
      <c r="D606" s="53" t="s">
        <v>2600</v>
      </c>
      <c r="E606" s="53" t="s">
        <v>2601</v>
      </c>
      <c r="F606" s="53" t="s">
        <v>2262</v>
      </c>
      <c r="I606" s="53" t="s">
        <v>844</v>
      </c>
    </row>
    <row r="607" customFormat="false" ht="11.25" hidden="false" customHeight="true" outlineLevel="0" collapsed="false">
      <c r="A607" s="53" t="s">
        <v>2190</v>
      </c>
      <c r="B607" s="53" t="s">
        <v>14</v>
      </c>
      <c r="C607" s="53" t="s">
        <v>2602</v>
      </c>
      <c r="D607" s="53" t="s">
        <v>2603</v>
      </c>
      <c r="E607" s="53" t="s">
        <v>2604</v>
      </c>
      <c r="F607" s="53" t="s">
        <v>2262</v>
      </c>
      <c r="H607" s="53" t="s">
        <v>2498</v>
      </c>
      <c r="I607" s="53" t="s">
        <v>844</v>
      </c>
    </row>
    <row r="608" customFormat="false" ht="11.25" hidden="false" customHeight="true" outlineLevel="0" collapsed="false">
      <c r="A608" s="53" t="s">
        <v>2190</v>
      </c>
      <c r="B608" s="53" t="s">
        <v>14</v>
      </c>
      <c r="C608" s="53" t="s">
        <v>3235</v>
      </c>
      <c r="D608" s="53" t="s">
        <v>3236</v>
      </c>
      <c r="E608" s="53" t="s">
        <v>3237</v>
      </c>
      <c r="F608" s="53" t="s">
        <v>2226</v>
      </c>
      <c r="G608" s="53" t="s">
        <v>3238</v>
      </c>
      <c r="H608" s="53" t="s">
        <v>3239</v>
      </c>
      <c r="I608" s="53" t="s">
        <v>844</v>
      </c>
    </row>
    <row r="609" customFormat="false" ht="11.25" hidden="false" customHeight="true" outlineLevel="0" collapsed="false">
      <c r="A609" s="53" t="s">
        <v>2190</v>
      </c>
      <c r="B609" s="53" t="s">
        <v>14</v>
      </c>
      <c r="C609" s="53" t="s">
        <v>3240</v>
      </c>
      <c r="D609" s="53" t="s">
        <v>3241</v>
      </c>
      <c r="E609" s="53" t="s">
        <v>3242</v>
      </c>
      <c r="F609" s="53" t="s">
        <v>2230</v>
      </c>
      <c r="H609" s="53" t="s">
        <v>3243</v>
      </c>
      <c r="I609" s="53" t="s">
        <v>844</v>
      </c>
    </row>
    <row r="610" customFormat="false" ht="11.25" hidden="false" customHeight="true" outlineLevel="0" collapsed="false">
      <c r="A610" s="53" t="s">
        <v>2190</v>
      </c>
      <c r="B610" s="53" t="s">
        <v>14</v>
      </c>
      <c r="C610" s="53" t="s">
        <v>2629</v>
      </c>
      <c r="D610" s="53" t="s">
        <v>2630</v>
      </c>
      <c r="E610" s="53" t="s">
        <v>2631</v>
      </c>
      <c r="F610" s="53" t="s">
        <v>2409</v>
      </c>
      <c r="I610" s="53" t="s">
        <v>844</v>
      </c>
    </row>
    <row r="611" customFormat="false" ht="11.25" hidden="false" customHeight="true" outlineLevel="0" collapsed="false">
      <c r="A611" s="53" t="s">
        <v>2190</v>
      </c>
      <c r="B611" s="53" t="s">
        <v>14</v>
      </c>
      <c r="C611" s="53" t="s">
        <v>3244</v>
      </c>
      <c r="D611" s="53" t="s">
        <v>3245</v>
      </c>
      <c r="E611" s="53" t="s">
        <v>3246</v>
      </c>
      <c r="F611" s="53" t="s">
        <v>2222</v>
      </c>
      <c r="G611" s="53" t="s">
        <v>3247</v>
      </c>
      <c r="H611" s="53" t="s">
        <v>3248</v>
      </c>
      <c r="I611" s="53" t="s">
        <v>844</v>
      </c>
    </row>
    <row r="612" customFormat="false" ht="11.25" hidden="false" customHeight="true" outlineLevel="0" collapsed="false">
      <c r="A612" s="53" t="s">
        <v>2190</v>
      </c>
      <c r="B612" s="53" t="s">
        <v>14</v>
      </c>
      <c r="C612" s="53" t="s">
        <v>2635</v>
      </c>
      <c r="D612" s="53" t="s">
        <v>2636</v>
      </c>
      <c r="E612" s="53" t="s">
        <v>2637</v>
      </c>
      <c r="F612" s="53" t="s">
        <v>2226</v>
      </c>
      <c r="I612" s="53" t="s">
        <v>844</v>
      </c>
    </row>
    <row r="613" customFormat="false" ht="11.25" hidden="false" customHeight="true" outlineLevel="0" collapsed="false">
      <c r="A613" s="53" t="s">
        <v>2190</v>
      </c>
      <c r="B613" s="53" t="s">
        <v>14</v>
      </c>
      <c r="C613" s="53" t="s">
        <v>2638</v>
      </c>
      <c r="D613" s="53" t="s">
        <v>2639</v>
      </c>
      <c r="E613" s="53" t="s">
        <v>2640</v>
      </c>
      <c r="F613" s="53" t="s">
        <v>2409</v>
      </c>
      <c r="H613" s="53" t="s">
        <v>2298</v>
      </c>
      <c r="I613" s="53" t="s">
        <v>844</v>
      </c>
    </row>
    <row r="614" customFormat="false" ht="11.25" hidden="false" customHeight="true" outlineLevel="0" collapsed="false">
      <c r="A614" s="53" t="s">
        <v>2190</v>
      </c>
      <c r="B614" s="53" t="s">
        <v>14</v>
      </c>
      <c r="C614" s="53" t="s">
        <v>2649</v>
      </c>
      <c r="D614" s="53" t="s">
        <v>2650</v>
      </c>
      <c r="E614" s="53" t="s">
        <v>2651</v>
      </c>
      <c r="F614" s="53" t="s">
        <v>2222</v>
      </c>
      <c r="I614" s="53" t="s">
        <v>844</v>
      </c>
    </row>
    <row r="615" customFormat="false" ht="11.25" hidden="false" customHeight="true" outlineLevel="0" collapsed="false">
      <c r="A615" s="53" t="s">
        <v>2190</v>
      </c>
      <c r="B615" s="53" t="s">
        <v>14</v>
      </c>
      <c r="C615" s="53" t="s">
        <v>3252</v>
      </c>
      <c r="D615" s="53" t="s">
        <v>3253</v>
      </c>
      <c r="E615" s="53" t="s">
        <v>3254</v>
      </c>
      <c r="F615" s="53" t="s">
        <v>2655</v>
      </c>
      <c r="H615" s="53" t="s">
        <v>2697</v>
      </c>
      <c r="I615" s="53" t="s">
        <v>844</v>
      </c>
    </row>
    <row r="616" customFormat="false" ht="11.25" hidden="false" customHeight="true" outlineLevel="0" collapsed="false">
      <c r="A616" s="53" t="s">
        <v>2190</v>
      </c>
      <c r="B616" s="53" t="s">
        <v>14</v>
      </c>
      <c r="C616" s="53" t="s">
        <v>3255</v>
      </c>
      <c r="D616" s="53" t="s">
        <v>3256</v>
      </c>
      <c r="E616" s="53" t="s">
        <v>3257</v>
      </c>
      <c r="F616" s="53" t="s">
        <v>2254</v>
      </c>
      <c r="G616" s="53" t="s">
        <v>3258</v>
      </c>
      <c r="I616" s="53" t="s">
        <v>844</v>
      </c>
    </row>
    <row r="617" customFormat="false" ht="11.25" hidden="false" customHeight="true" outlineLevel="0" collapsed="false">
      <c r="A617" s="53" t="s">
        <v>2190</v>
      </c>
      <c r="B617" s="53" t="s">
        <v>14</v>
      </c>
      <c r="C617" s="53" t="s">
        <v>2671</v>
      </c>
      <c r="D617" s="53" t="s">
        <v>2672</v>
      </c>
      <c r="E617" s="53" t="s">
        <v>2673</v>
      </c>
      <c r="F617" s="53" t="s">
        <v>2409</v>
      </c>
      <c r="I617" s="53" t="s">
        <v>844</v>
      </c>
    </row>
    <row r="618" customFormat="false" ht="11.25" hidden="false" customHeight="true" outlineLevel="0" collapsed="false">
      <c r="A618" s="53" t="s">
        <v>2190</v>
      </c>
      <c r="B618" s="53" t="s">
        <v>14</v>
      </c>
      <c r="C618" s="53" t="s">
        <v>3441</v>
      </c>
      <c r="D618" s="53" t="s">
        <v>3442</v>
      </c>
      <c r="E618" s="53" t="s">
        <v>3443</v>
      </c>
      <c r="F618" s="53" t="s">
        <v>2262</v>
      </c>
      <c r="G618" s="53" t="s">
        <v>3444</v>
      </c>
      <c r="I618" s="53" t="s">
        <v>844</v>
      </c>
    </row>
    <row r="619" customFormat="false" ht="11.25" hidden="false" customHeight="true" outlineLevel="0" collapsed="false">
      <c r="A619" s="53" t="s">
        <v>2190</v>
      </c>
      <c r="B619" s="53" t="s">
        <v>14</v>
      </c>
      <c r="C619" s="53" t="s">
        <v>2694</v>
      </c>
      <c r="D619" s="53" t="s">
        <v>2695</v>
      </c>
      <c r="E619" s="53" t="s">
        <v>2696</v>
      </c>
      <c r="F619" s="53" t="s">
        <v>2427</v>
      </c>
      <c r="H619" s="53" t="s">
        <v>2697</v>
      </c>
      <c r="I619" s="53" t="s">
        <v>844</v>
      </c>
    </row>
    <row r="620" customFormat="false" ht="11.25" hidden="false" customHeight="true" outlineLevel="0" collapsed="false">
      <c r="A620" s="53" t="s">
        <v>2190</v>
      </c>
      <c r="B620" s="53" t="s">
        <v>14</v>
      </c>
      <c r="C620" s="53" t="s">
        <v>2701</v>
      </c>
      <c r="D620" s="53" t="s">
        <v>2702</v>
      </c>
      <c r="E620" s="53" t="s">
        <v>2703</v>
      </c>
      <c r="F620" s="53" t="s">
        <v>2258</v>
      </c>
      <c r="G620" s="53" t="s">
        <v>2269</v>
      </c>
      <c r="H620" s="53" t="s">
        <v>2704</v>
      </c>
      <c r="I620" s="53" t="s">
        <v>844</v>
      </c>
    </row>
    <row r="621" customFormat="false" ht="11.25" hidden="false" customHeight="true" outlineLevel="0" collapsed="false">
      <c r="A621" s="53" t="s">
        <v>2190</v>
      </c>
      <c r="B621" s="53" t="s">
        <v>14</v>
      </c>
      <c r="C621" s="53" t="s">
        <v>3263</v>
      </c>
      <c r="D621" s="53" t="s">
        <v>3264</v>
      </c>
      <c r="E621" s="53" t="s">
        <v>3265</v>
      </c>
      <c r="F621" s="53" t="s">
        <v>2389</v>
      </c>
      <c r="I621" s="53" t="s">
        <v>844</v>
      </c>
    </row>
    <row r="622" customFormat="false" ht="11.25" hidden="false" customHeight="true" outlineLevel="0" collapsed="false">
      <c r="A622" s="53" t="s">
        <v>2190</v>
      </c>
      <c r="B622" s="53" t="s">
        <v>14</v>
      </c>
      <c r="C622" s="53" t="s">
        <v>3266</v>
      </c>
      <c r="D622" s="53" t="s">
        <v>3267</v>
      </c>
      <c r="E622" s="53" t="s">
        <v>3268</v>
      </c>
      <c r="F622" s="53" t="s">
        <v>2546</v>
      </c>
      <c r="H622" s="53" t="s">
        <v>2452</v>
      </c>
      <c r="I622" s="53" t="s">
        <v>844</v>
      </c>
    </row>
    <row r="623" customFormat="false" ht="11.25" hidden="false" customHeight="true" outlineLevel="0" collapsed="false">
      <c r="A623" s="53" t="s">
        <v>2190</v>
      </c>
      <c r="B623" s="53" t="s">
        <v>14</v>
      </c>
      <c r="C623" s="53" t="s">
        <v>2755</v>
      </c>
      <c r="D623" s="53" t="s">
        <v>2756</v>
      </c>
      <c r="E623" s="53" t="s">
        <v>2757</v>
      </c>
      <c r="F623" s="53" t="s">
        <v>2758</v>
      </c>
      <c r="H623" s="53" t="s">
        <v>2759</v>
      </c>
      <c r="I623" s="53" t="s">
        <v>844</v>
      </c>
    </row>
    <row r="624" customFormat="false" ht="11.25" hidden="false" customHeight="true" outlineLevel="0" collapsed="false">
      <c r="A624" s="53" t="s">
        <v>2190</v>
      </c>
      <c r="B624" s="53" t="s">
        <v>14</v>
      </c>
      <c r="C624" s="53" t="s">
        <v>3272</v>
      </c>
      <c r="D624" s="53" t="s">
        <v>3273</v>
      </c>
      <c r="E624" s="53" t="s">
        <v>3274</v>
      </c>
      <c r="F624" s="53" t="s">
        <v>2218</v>
      </c>
      <c r="H624" s="53" t="s">
        <v>3275</v>
      </c>
      <c r="I624" s="53" t="s">
        <v>844</v>
      </c>
    </row>
    <row r="625" customFormat="false" ht="11.25" hidden="false" customHeight="true" outlineLevel="0" collapsed="false">
      <c r="A625" s="53" t="s">
        <v>2190</v>
      </c>
      <c r="B625" s="53" t="s">
        <v>14</v>
      </c>
      <c r="C625" s="53" t="s">
        <v>3276</v>
      </c>
      <c r="D625" s="53" t="s">
        <v>3277</v>
      </c>
      <c r="E625" s="53" t="s">
        <v>3278</v>
      </c>
      <c r="F625" s="53" t="s">
        <v>2262</v>
      </c>
      <c r="H625" s="53" t="s">
        <v>2452</v>
      </c>
      <c r="I625" s="53" t="s">
        <v>844</v>
      </c>
    </row>
    <row r="626" customFormat="false" ht="11.25" hidden="false" customHeight="true" outlineLevel="0" collapsed="false">
      <c r="A626" s="53" t="s">
        <v>2190</v>
      </c>
      <c r="B626" s="53" t="s">
        <v>14</v>
      </c>
      <c r="C626" s="53" t="s">
        <v>3445</v>
      </c>
      <c r="D626" s="53" t="s">
        <v>3446</v>
      </c>
      <c r="E626" s="53" t="s">
        <v>3447</v>
      </c>
      <c r="F626" s="53" t="s">
        <v>2427</v>
      </c>
      <c r="H626" s="53" t="s">
        <v>3282</v>
      </c>
      <c r="I626" s="53" t="s">
        <v>844</v>
      </c>
    </row>
    <row r="627" customFormat="false" ht="11.25" hidden="false" customHeight="true" outlineLevel="0" collapsed="false">
      <c r="A627" s="53" t="s">
        <v>2190</v>
      </c>
      <c r="B627" s="53" t="s">
        <v>14</v>
      </c>
      <c r="C627" s="53" t="s">
        <v>3283</v>
      </c>
      <c r="D627" s="53" t="s">
        <v>3284</v>
      </c>
      <c r="E627" s="53" t="s">
        <v>3285</v>
      </c>
      <c r="F627" s="53" t="s">
        <v>2427</v>
      </c>
      <c r="G627" s="53" t="s">
        <v>3286</v>
      </c>
      <c r="H627" s="53" t="s">
        <v>3287</v>
      </c>
      <c r="I627" s="53" t="s">
        <v>844</v>
      </c>
    </row>
    <row r="628" customFormat="false" ht="11.25" hidden="false" customHeight="true" outlineLevel="0" collapsed="false">
      <c r="A628" s="53" t="s">
        <v>2190</v>
      </c>
      <c r="B628" s="53" t="s">
        <v>14</v>
      </c>
      <c r="C628" s="53" t="s">
        <v>3448</v>
      </c>
      <c r="D628" s="53" t="s">
        <v>3449</v>
      </c>
      <c r="E628" s="53" t="s">
        <v>3450</v>
      </c>
      <c r="F628" s="53" t="s">
        <v>2262</v>
      </c>
      <c r="G628" s="53" t="s">
        <v>3291</v>
      </c>
      <c r="I628" s="53" t="s">
        <v>844</v>
      </c>
    </row>
    <row r="629" customFormat="false" ht="11.25" hidden="false" customHeight="true" outlineLevel="0" collapsed="false">
      <c r="A629" s="53" t="s">
        <v>2190</v>
      </c>
      <c r="B629" s="53" t="s">
        <v>14</v>
      </c>
      <c r="C629" s="53" t="s">
        <v>3288</v>
      </c>
      <c r="D629" s="53" t="s">
        <v>3289</v>
      </c>
      <c r="E629" s="53" t="s">
        <v>3290</v>
      </c>
      <c r="F629" s="53" t="s">
        <v>2254</v>
      </c>
      <c r="G629" s="53" t="s">
        <v>3291</v>
      </c>
      <c r="I629" s="53" t="s">
        <v>844</v>
      </c>
    </row>
    <row r="630" customFormat="false" ht="11.25" hidden="false" customHeight="true" outlineLevel="0" collapsed="false">
      <c r="A630" s="53" t="s">
        <v>2190</v>
      </c>
      <c r="B630" s="53" t="s">
        <v>14</v>
      </c>
      <c r="C630" s="53" t="s">
        <v>3451</v>
      </c>
      <c r="D630" s="53" t="s">
        <v>3452</v>
      </c>
      <c r="E630" s="53" t="s">
        <v>3453</v>
      </c>
      <c r="F630" s="53" t="s">
        <v>2262</v>
      </c>
      <c r="G630" s="53" t="s">
        <v>3348</v>
      </c>
      <c r="I630" s="53" t="s">
        <v>844</v>
      </c>
    </row>
    <row r="631" customFormat="false" ht="11.25" hidden="false" customHeight="true" outlineLevel="0" collapsed="false">
      <c r="A631" s="53" t="s">
        <v>2190</v>
      </c>
      <c r="B631" s="53" t="s">
        <v>14</v>
      </c>
      <c r="C631" s="53" t="s">
        <v>3292</v>
      </c>
      <c r="D631" s="53" t="s">
        <v>3293</v>
      </c>
      <c r="E631" s="53" t="s">
        <v>3294</v>
      </c>
      <c r="F631" s="53" t="s">
        <v>48</v>
      </c>
      <c r="G631" s="53" t="s">
        <v>3295</v>
      </c>
      <c r="I631" s="53" t="s">
        <v>844</v>
      </c>
    </row>
    <row r="632" customFormat="false" ht="11.25" hidden="false" customHeight="true" outlineLevel="0" collapsed="false">
      <c r="A632" s="53" t="s">
        <v>2190</v>
      </c>
      <c r="B632" s="53" t="s">
        <v>14</v>
      </c>
      <c r="C632" s="53" t="s">
        <v>3296</v>
      </c>
      <c r="D632" s="53" t="s">
        <v>3297</v>
      </c>
      <c r="E632" s="53" t="s">
        <v>3298</v>
      </c>
      <c r="F632" s="53" t="s">
        <v>2208</v>
      </c>
      <c r="H632" s="53" t="s">
        <v>3299</v>
      </c>
      <c r="I632" s="53" t="s">
        <v>844</v>
      </c>
    </row>
    <row r="633" customFormat="false" ht="11.25" hidden="false" customHeight="true" outlineLevel="0" collapsed="false">
      <c r="A633" s="53" t="s">
        <v>2190</v>
      </c>
      <c r="B633" s="53" t="s">
        <v>14</v>
      </c>
      <c r="C633" s="53" t="s">
        <v>2780</v>
      </c>
      <c r="D633" s="53" t="s">
        <v>2781</v>
      </c>
      <c r="E633" s="53" t="s">
        <v>2782</v>
      </c>
      <c r="F633" s="53" t="s">
        <v>2409</v>
      </c>
      <c r="G633" s="53" t="s">
        <v>2783</v>
      </c>
      <c r="I633" s="53" t="s">
        <v>844</v>
      </c>
    </row>
    <row r="634" customFormat="false" ht="11.25" hidden="false" customHeight="true" outlineLevel="0" collapsed="false">
      <c r="A634" s="53" t="s">
        <v>2190</v>
      </c>
      <c r="B634" s="53" t="s">
        <v>14</v>
      </c>
      <c r="C634" s="53" t="s">
        <v>3300</v>
      </c>
      <c r="D634" s="53" t="s">
        <v>3301</v>
      </c>
      <c r="E634" s="53" t="s">
        <v>3302</v>
      </c>
      <c r="F634" s="53" t="s">
        <v>2708</v>
      </c>
      <c r="H634" s="53" t="s">
        <v>3162</v>
      </c>
      <c r="I634" s="53" t="s">
        <v>844</v>
      </c>
    </row>
    <row r="635" customFormat="false" ht="11.25" hidden="false" customHeight="true" outlineLevel="0" collapsed="false">
      <c r="A635" s="53" t="s">
        <v>2190</v>
      </c>
      <c r="B635" s="53" t="s">
        <v>14</v>
      </c>
      <c r="C635" s="53" t="s">
        <v>3454</v>
      </c>
      <c r="D635" s="53" t="s">
        <v>3455</v>
      </c>
      <c r="E635" s="53" t="s">
        <v>3456</v>
      </c>
      <c r="F635" s="53" t="s">
        <v>2480</v>
      </c>
      <c r="I635" s="53" t="s">
        <v>844</v>
      </c>
    </row>
    <row r="636" customFormat="false" ht="11.25" hidden="false" customHeight="true" outlineLevel="0" collapsed="false">
      <c r="A636" s="53" t="s">
        <v>2190</v>
      </c>
      <c r="B636" s="53" t="s">
        <v>14</v>
      </c>
      <c r="C636" s="53" t="s">
        <v>3303</v>
      </c>
      <c r="D636" s="53" t="s">
        <v>3304</v>
      </c>
      <c r="E636" s="53" t="s">
        <v>3305</v>
      </c>
      <c r="F636" s="53" t="s">
        <v>48</v>
      </c>
      <c r="I636" s="53" t="s">
        <v>844</v>
      </c>
    </row>
    <row r="637" customFormat="false" ht="11.25" hidden="false" customHeight="true" outlineLevel="0" collapsed="false">
      <c r="A637" s="53" t="s">
        <v>2190</v>
      </c>
      <c r="B637" s="53" t="s">
        <v>14</v>
      </c>
      <c r="C637" s="53" t="s">
        <v>2809</v>
      </c>
      <c r="D637" s="53" t="s">
        <v>2807</v>
      </c>
      <c r="E637" s="53" t="s">
        <v>2808</v>
      </c>
      <c r="F637" s="53" t="s">
        <v>2254</v>
      </c>
      <c r="H637" s="53" t="s">
        <v>2810</v>
      </c>
      <c r="I637" s="53" t="s">
        <v>844</v>
      </c>
    </row>
    <row r="638" customFormat="false" ht="11.25" hidden="false" customHeight="true" outlineLevel="0" collapsed="false">
      <c r="A638" s="53" t="s">
        <v>2190</v>
      </c>
      <c r="B638" s="53" t="s">
        <v>14</v>
      </c>
      <c r="C638" s="53" t="s">
        <v>2814</v>
      </c>
      <c r="D638" s="53" t="s">
        <v>2815</v>
      </c>
      <c r="E638" s="53" t="s">
        <v>2816</v>
      </c>
      <c r="F638" s="53" t="s">
        <v>2409</v>
      </c>
      <c r="I638" s="53" t="s">
        <v>844</v>
      </c>
    </row>
    <row r="639" customFormat="false" ht="11.25" hidden="false" customHeight="true" outlineLevel="0" collapsed="false">
      <c r="A639" s="53" t="s">
        <v>2190</v>
      </c>
      <c r="B639" s="53" t="s">
        <v>14</v>
      </c>
      <c r="C639" s="53" t="s">
        <v>3457</v>
      </c>
      <c r="D639" s="53" t="s">
        <v>3458</v>
      </c>
      <c r="E639" s="53" t="s">
        <v>3459</v>
      </c>
      <c r="F639" s="53" t="s">
        <v>2258</v>
      </c>
      <c r="G639" s="53" t="s">
        <v>3460</v>
      </c>
      <c r="I639" s="53" t="s">
        <v>844</v>
      </c>
    </row>
    <row r="640" customFormat="false" ht="11.25" hidden="false" customHeight="true" outlineLevel="0" collapsed="false">
      <c r="A640" s="53" t="s">
        <v>2190</v>
      </c>
      <c r="B640" s="53" t="s">
        <v>14</v>
      </c>
      <c r="C640" s="53" t="s">
        <v>3461</v>
      </c>
      <c r="D640" s="53" t="s">
        <v>3462</v>
      </c>
      <c r="E640" s="53" t="s">
        <v>3463</v>
      </c>
      <c r="F640" s="53" t="s">
        <v>2258</v>
      </c>
      <c r="H640" s="53" t="s">
        <v>3464</v>
      </c>
      <c r="I640" s="53" t="s">
        <v>844</v>
      </c>
    </row>
    <row r="641" customFormat="false" ht="11.25" hidden="false" customHeight="true" outlineLevel="0" collapsed="false">
      <c r="A641" s="53" t="s">
        <v>2190</v>
      </c>
      <c r="B641" s="53" t="s">
        <v>14</v>
      </c>
      <c r="C641" s="53" t="s">
        <v>3465</v>
      </c>
      <c r="D641" s="53" t="s">
        <v>3462</v>
      </c>
      <c r="E641" s="53" t="s">
        <v>3463</v>
      </c>
      <c r="F641" s="53" t="s">
        <v>3466</v>
      </c>
      <c r="H641" s="53" t="s">
        <v>2498</v>
      </c>
      <c r="I641" s="53" t="s">
        <v>844</v>
      </c>
    </row>
    <row r="642" customFormat="false" ht="11.25" hidden="false" customHeight="true" outlineLevel="0" collapsed="false">
      <c r="A642" s="53" t="s">
        <v>2190</v>
      </c>
      <c r="B642" s="53" t="s">
        <v>14</v>
      </c>
      <c r="C642" s="53" t="s">
        <v>3467</v>
      </c>
      <c r="D642" s="53" t="s">
        <v>2842</v>
      </c>
      <c r="E642" s="53" t="s">
        <v>3468</v>
      </c>
      <c r="F642" s="53" t="s">
        <v>2409</v>
      </c>
      <c r="G642" s="53" t="s">
        <v>3469</v>
      </c>
      <c r="I642" s="53" t="s">
        <v>844</v>
      </c>
    </row>
    <row r="643" customFormat="false" ht="11.25" hidden="false" customHeight="true" outlineLevel="0" collapsed="false">
      <c r="A643" s="53" t="s">
        <v>2190</v>
      </c>
      <c r="B643" s="53" t="s">
        <v>14</v>
      </c>
      <c r="C643" s="53" t="s">
        <v>2841</v>
      </c>
      <c r="D643" s="53" t="s">
        <v>2842</v>
      </c>
      <c r="E643" s="53" t="s">
        <v>2843</v>
      </c>
      <c r="F643" s="53" t="s">
        <v>2409</v>
      </c>
      <c r="G643" s="53" t="s">
        <v>2844</v>
      </c>
      <c r="I643" s="53" t="s">
        <v>844</v>
      </c>
    </row>
    <row r="644" customFormat="false" ht="11.25" hidden="false" customHeight="true" outlineLevel="0" collapsed="false">
      <c r="A644" s="53" t="s">
        <v>2190</v>
      </c>
      <c r="B644" s="53" t="s">
        <v>14</v>
      </c>
      <c r="C644" s="53" t="s">
        <v>2855</v>
      </c>
      <c r="D644" s="53" t="s">
        <v>2856</v>
      </c>
      <c r="E644" s="53" t="s">
        <v>2857</v>
      </c>
      <c r="F644" s="53" t="s">
        <v>2835</v>
      </c>
      <c r="I644" s="53" t="s">
        <v>844</v>
      </c>
    </row>
    <row r="645" customFormat="false" ht="11.25" hidden="false" customHeight="true" outlineLevel="0" collapsed="false">
      <c r="A645" s="53" t="s">
        <v>2190</v>
      </c>
      <c r="B645" s="53" t="s">
        <v>14</v>
      </c>
      <c r="C645" s="53" t="s">
        <v>3310</v>
      </c>
      <c r="D645" s="53" t="s">
        <v>3311</v>
      </c>
      <c r="E645" s="53" t="s">
        <v>3312</v>
      </c>
      <c r="F645" s="53" t="s">
        <v>2258</v>
      </c>
      <c r="H645" s="53" t="s">
        <v>3313</v>
      </c>
      <c r="I645" s="53" t="s">
        <v>844</v>
      </c>
    </row>
    <row r="646" customFormat="false" ht="11.25" hidden="false" customHeight="true" outlineLevel="0" collapsed="false">
      <c r="A646" s="53" t="s">
        <v>2190</v>
      </c>
      <c r="B646" s="53" t="s">
        <v>14</v>
      </c>
      <c r="C646" s="53" t="s">
        <v>3314</v>
      </c>
      <c r="D646" s="53" t="s">
        <v>3315</v>
      </c>
      <c r="E646" s="53" t="s">
        <v>3316</v>
      </c>
      <c r="F646" s="53" t="s">
        <v>2208</v>
      </c>
      <c r="I646" s="53" t="s">
        <v>844</v>
      </c>
    </row>
    <row r="647" customFormat="false" ht="11.25" hidden="false" customHeight="true" outlineLevel="0" collapsed="false">
      <c r="A647" s="53" t="s">
        <v>2190</v>
      </c>
      <c r="B647" s="53" t="s">
        <v>14</v>
      </c>
      <c r="C647" s="53" t="s">
        <v>3317</v>
      </c>
      <c r="D647" s="53" t="s">
        <v>3318</v>
      </c>
      <c r="E647" s="53" t="s">
        <v>3319</v>
      </c>
      <c r="F647" s="53" t="s">
        <v>2708</v>
      </c>
      <c r="H647" s="53" t="s">
        <v>3320</v>
      </c>
      <c r="I647" s="53" t="s">
        <v>844</v>
      </c>
    </row>
    <row r="648" customFormat="false" ht="11.25" hidden="false" customHeight="true" outlineLevel="0" collapsed="false">
      <c r="A648" s="53" t="s">
        <v>2190</v>
      </c>
      <c r="B648" s="53" t="s">
        <v>14</v>
      </c>
      <c r="C648" s="53" t="s">
        <v>2898</v>
      </c>
      <c r="D648" s="53" t="s">
        <v>2899</v>
      </c>
      <c r="E648" s="53" t="s">
        <v>2900</v>
      </c>
      <c r="F648" s="53" t="s">
        <v>2405</v>
      </c>
      <c r="I648" s="53" t="s">
        <v>844</v>
      </c>
    </row>
    <row r="649" customFormat="false" ht="11.25" hidden="false" customHeight="true" outlineLevel="0" collapsed="false">
      <c r="A649" s="53" t="s">
        <v>2190</v>
      </c>
      <c r="B649" s="53" t="s">
        <v>14</v>
      </c>
      <c r="C649" s="53" t="s">
        <v>3470</v>
      </c>
      <c r="D649" s="53" t="s">
        <v>3471</v>
      </c>
      <c r="E649" s="53" t="s">
        <v>3472</v>
      </c>
      <c r="F649" s="53" t="s">
        <v>2405</v>
      </c>
      <c r="I649" s="53" t="s">
        <v>844</v>
      </c>
    </row>
    <row r="650" customFormat="false" ht="11.25" hidden="false" customHeight="true" outlineLevel="0" collapsed="false">
      <c r="A650" s="53" t="s">
        <v>2190</v>
      </c>
      <c r="B650" s="53" t="s">
        <v>14</v>
      </c>
      <c r="C650" s="53" t="s">
        <v>3330</v>
      </c>
      <c r="D650" s="53" t="s">
        <v>3331</v>
      </c>
      <c r="E650" s="53" t="s">
        <v>3332</v>
      </c>
      <c r="F650" s="53" t="s">
        <v>2262</v>
      </c>
      <c r="G650" s="53" t="s">
        <v>3333</v>
      </c>
      <c r="I650" s="53" t="s">
        <v>844</v>
      </c>
    </row>
    <row r="651" customFormat="false" ht="11.25" hidden="false" customHeight="true" outlineLevel="0" collapsed="false">
      <c r="A651" s="53" t="s">
        <v>2190</v>
      </c>
      <c r="B651" s="53" t="s">
        <v>14</v>
      </c>
      <c r="C651" s="53" t="s">
        <v>2916</v>
      </c>
      <c r="D651" s="53" t="s">
        <v>2917</v>
      </c>
      <c r="E651" s="53" t="s">
        <v>2918</v>
      </c>
      <c r="F651" s="53" t="s">
        <v>2409</v>
      </c>
      <c r="G651" s="53" t="s">
        <v>2919</v>
      </c>
      <c r="I651" s="53" t="s">
        <v>844</v>
      </c>
    </row>
    <row r="652" customFormat="false" ht="11.25" hidden="false" customHeight="true" outlineLevel="0" collapsed="false">
      <c r="A652" s="53" t="s">
        <v>2190</v>
      </c>
      <c r="B652" s="53" t="s">
        <v>14</v>
      </c>
      <c r="C652" s="53" t="s">
        <v>3473</v>
      </c>
      <c r="D652" s="53" t="s">
        <v>3474</v>
      </c>
      <c r="E652" s="53" t="s">
        <v>3475</v>
      </c>
      <c r="F652" s="53" t="s">
        <v>2409</v>
      </c>
      <c r="G652" s="53" t="s">
        <v>3476</v>
      </c>
      <c r="I652" s="53" t="s">
        <v>844</v>
      </c>
    </row>
    <row r="653" customFormat="false" ht="11.25" hidden="false" customHeight="true" outlineLevel="0" collapsed="false">
      <c r="A653" s="53" t="s">
        <v>2190</v>
      </c>
      <c r="B653" s="53" t="s">
        <v>14</v>
      </c>
      <c r="C653" s="53" t="s">
        <v>3334</v>
      </c>
      <c r="D653" s="53" t="s">
        <v>3335</v>
      </c>
      <c r="E653" s="53" t="s">
        <v>3336</v>
      </c>
      <c r="F653" s="53" t="s">
        <v>3337</v>
      </c>
      <c r="I653" s="53" t="s">
        <v>844</v>
      </c>
    </row>
    <row r="654" customFormat="false" ht="11.25" hidden="false" customHeight="true" outlineLevel="0" collapsed="false">
      <c r="A654" s="53" t="s">
        <v>2190</v>
      </c>
      <c r="B654" s="53" t="s">
        <v>14</v>
      </c>
      <c r="C654" s="53" t="s">
        <v>3338</v>
      </c>
      <c r="D654" s="53" t="s">
        <v>3339</v>
      </c>
      <c r="E654" s="53" t="s">
        <v>3340</v>
      </c>
      <c r="F654" s="53" t="s">
        <v>2427</v>
      </c>
      <c r="G654" s="53" t="s">
        <v>3341</v>
      </c>
      <c r="I654" s="53" t="s">
        <v>844</v>
      </c>
    </row>
    <row r="655" customFormat="false" ht="11.25" hidden="false" customHeight="true" outlineLevel="0" collapsed="false">
      <c r="A655" s="53" t="s">
        <v>2190</v>
      </c>
      <c r="B655" s="53" t="s">
        <v>14</v>
      </c>
      <c r="C655" s="53" t="s">
        <v>2941</v>
      </c>
      <c r="D655" s="53" t="s">
        <v>2942</v>
      </c>
      <c r="E655" s="53" t="s">
        <v>2943</v>
      </c>
      <c r="F655" s="53" t="s">
        <v>2262</v>
      </c>
      <c r="I655" s="53" t="s">
        <v>844</v>
      </c>
    </row>
    <row r="656" customFormat="false" ht="11.25" hidden="false" customHeight="true" outlineLevel="0" collapsed="false">
      <c r="A656" s="53" t="s">
        <v>2190</v>
      </c>
      <c r="B656" s="53" t="s">
        <v>14</v>
      </c>
      <c r="C656" s="53" t="s">
        <v>3477</v>
      </c>
      <c r="D656" s="53" t="s">
        <v>3478</v>
      </c>
      <c r="E656" s="53" t="s">
        <v>3479</v>
      </c>
      <c r="F656" s="53" t="s">
        <v>2234</v>
      </c>
      <c r="H656" s="53" t="s">
        <v>3480</v>
      </c>
      <c r="I656" s="53" t="s">
        <v>844</v>
      </c>
    </row>
    <row r="657" customFormat="false" ht="11.25" hidden="false" customHeight="true" outlineLevel="0" collapsed="false">
      <c r="A657" s="53" t="s">
        <v>2190</v>
      </c>
      <c r="B657" s="53" t="s">
        <v>14</v>
      </c>
      <c r="C657" s="53" t="s">
        <v>2947</v>
      </c>
      <c r="D657" s="53" t="s">
        <v>2948</v>
      </c>
      <c r="E657" s="53" t="s">
        <v>2949</v>
      </c>
      <c r="F657" s="53" t="s">
        <v>2427</v>
      </c>
      <c r="G657" s="53" t="s">
        <v>2950</v>
      </c>
      <c r="I657" s="53" t="s">
        <v>844</v>
      </c>
    </row>
    <row r="658" customFormat="false" ht="11.25" hidden="false" customHeight="true" outlineLevel="0" collapsed="false">
      <c r="A658" s="53" t="s">
        <v>2190</v>
      </c>
      <c r="B658" s="53" t="s">
        <v>14</v>
      </c>
      <c r="C658" s="53" t="s">
        <v>2967</v>
      </c>
      <c r="D658" s="53" t="s">
        <v>2968</v>
      </c>
      <c r="E658" s="53" t="s">
        <v>2969</v>
      </c>
      <c r="F658" s="53" t="s">
        <v>2254</v>
      </c>
      <c r="I658" s="53" t="s">
        <v>844</v>
      </c>
    </row>
    <row r="659" customFormat="false" ht="11.25" hidden="false" customHeight="true" outlineLevel="0" collapsed="false">
      <c r="A659" s="53" t="s">
        <v>2190</v>
      </c>
      <c r="B659" s="53" t="s">
        <v>14</v>
      </c>
      <c r="C659" s="53" t="s">
        <v>3342</v>
      </c>
      <c r="D659" s="53" t="s">
        <v>3343</v>
      </c>
      <c r="E659" s="53" t="s">
        <v>3344</v>
      </c>
      <c r="F659" s="53" t="s">
        <v>2409</v>
      </c>
      <c r="I659" s="53" t="s">
        <v>844</v>
      </c>
    </row>
    <row r="660" customFormat="false" ht="11.25" hidden="false" customHeight="true" outlineLevel="0" collapsed="false">
      <c r="A660" s="53" t="s">
        <v>2190</v>
      </c>
      <c r="B660" s="53" t="s">
        <v>14</v>
      </c>
      <c r="C660" s="53" t="s">
        <v>3349</v>
      </c>
      <c r="D660" s="53" t="s">
        <v>3350</v>
      </c>
      <c r="E660" s="53" t="s">
        <v>3351</v>
      </c>
      <c r="F660" s="53" t="s">
        <v>2262</v>
      </c>
      <c r="H660" s="53" t="s">
        <v>3262</v>
      </c>
      <c r="I660" s="53" t="s">
        <v>844</v>
      </c>
    </row>
    <row r="661" customFormat="false" ht="11.25" hidden="false" customHeight="true" outlineLevel="0" collapsed="false">
      <c r="A661" s="53" t="s">
        <v>2190</v>
      </c>
      <c r="B661" s="53" t="s">
        <v>14</v>
      </c>
      <c r="C661" s="53" t="s">
        <v>3352</v>
      </c>
      <c r="D661" s="53" t="s">
        <v>3353</v>
      </c>
      <c r="E661" s="53" t="s">
        <v>3354</v>
      </c>
      <c r="F661" s="53" t="s">
        <v>2254</v>
      </c>
      <c r="G661" s="53" t="s">
        <v>3355</v>
      </c>
      <c r="I661" s="53" t="s">
        <v>844</v>
      </c>
    </row>
    <row r="662" customFormat="false" ht="11.25" hidden="false" customHeight="true" outlineLevel="0" collapsed="false">
      <c r="A662" s="53" t="s">
        <v>2190</v>
      </c>
      <c r="B662" s="53" t="s">
        <v>14</v>
      </c>
      <c r="C662" s="53" t="s">
        <v>2990</v>
      </c>
      <c r="D662" s="53" t="s">
        <v>2991</v>
      </c>
      <c r="E662" s="53" t="s">
        <v>2992</v>
      </c>
      <c r="F662" s="53" t="s">
        <v>2427</v>
      </c>
      <c r="I662" s="53" t="s">
        <v>844</v>
      </c>
    </row>
    <row r="663" customFormat="false" ht="11.25" hidden="false" customHeight="true" outlineLevel="0" collapsed="false">
      <c r="A663" s="53" t="s">
        <v>2190</v>
      </c>
      <c r="B663" s="53" t="s">
        <v>14</v>
      </c>
      <c r="C663" s="53" t="s">
        <v>3481</v>
      </c>
      <c r="D663" s="53" t="s">
        <v>3482</v>
      </c>
      <c r="E663" s="53" t="s">
        <v>3483</v>
      </c>
      <c r="F663" s="53" t="s">
        <v>2226</v>
      </c>
      <c r="I663" s="53" t="s">
        <v>844</v>
      </c>
    </row>
    <row r="664" customFormat="false" ht="11.25" hidden="false" customHeight="true" outlineLevel="0" collapsed="false">
      <c r="A664" s="53" t="s">
        <v>2190</v>
      </c>
      <c r="B664" s="53" t="s">
        <v>14</v>
      </c>
      <c r="C664" s="53" t="s">
        <v>2999</v>
      </c>
      <c r="D664" s="53" t="s">
        <v>3000</v>
      </c>
      <c r="E664" s="53" t="s">
        <v>3001</v>
      </c>
      <c r="F664" s="53" t="s">
        <v>2234</v>
      </c>
      <c r="I664" s="53" t="s">
        <v>844</v>
      </c>
    </row>
    <row r="665" customFormat="false" ht="11.25" hidden="false" customHeight="true" outlineLevel="0" collapsed="false">
      <c r="A665" s="53" t="s">
        <v>2190</v>
      </c>
      <c r="B665" s="53" t="s">
        <v>14</v>
      </c>
      <c r="C665" s="53" t="s">
        <v>3002</v>
      </c>
      <c r="D665" s="53" t="s">
        <v>3000</v>
      </c>
      <c r="E665" s="53" t="s">
        <v>3001</v>
      </c>
      <c r="F665" s="53" t="s">
        <v>2409</v>
      </c>
      <c r="G665" s="53" t="s">
        <v>3003</v>
      </c>
      <c r="I665" s="53" t="s">
        <v>844</v>
      </c>
    </row>
    <row r="666" customFormat="false" ht="11.25" hidden="false" customHeight="true" outlineLevel="0" collapsed="false">
      <c r="A666" s="53" t="s">
        <v>2190</v>
      </c>
      <c r="B666" s="53" t="s">
        <v>14</v>
      </c>
      <c r="C666" s="53" t="s">
        <v>3356</v>
      </c>
      <c r="D666" s="53" t="s">
        <v>3357</v>
      </c>
      <c r="E666" s="53" t="s">
        <v>3358</v>
      </c>
      <c r="F666" s="53" t="s">
        <v>2208</v>
      </c>
      <c r="H666" s="53" t="s">
        <v>3359</v>
      </c>
      <c r="I666" s="53" t="s">
        <v>844</v>
      </c>
    </row>
    <row r="667" customFormat="false" ht="11.25" hidden="false" customHeight="true" outlineLevel="0" collapsed="false">
      <c r="A667" s="53" t="s">
        <v>2190</v>
      </c>
      <c r="B667" s="53" t="s">
        <v>14</v>
      </c>
      <c r="C667" s="53" t="s">
        <v>3360</v>
      </c>
      <c r="D667" s="53" t="s">
        <v>3361</v>
      </c>
      <c r="E667" s="53" t="s">
        <v>3362</v>
      </c>
      <c r="F667" s="53" t="s">
        <v>3363</v>
      </c>
      <c r="G667" s="53" t="s">
        <v>3364</v>
      </c>
      <c r="I667" s="53" t="s">
        <v>844</v>
      </c>
    </row>
    <row r="668" customFormat="false" ht="11.25" hidden="false" customHeight="true" outlineLevel="0" collapsed="false">
      <c r="A668" s="53" t="s">
        <v>2190</v>
      </c>
      <c r="B668" s="53" t="s">
        <v>14</v>
      </c>
      <c r="C668" s="53" t="s">
        <v>3365</v>
      </c>
      <c r="D668" s="53" t="s">
        <v>3366</v>
      </c>
      <c r="E668" s="53" t="s">
        <v>3367</v>
      </c>
      <c r="F668" s="53" t="s">
        <v>2262</v>
      </c>
      <c r="H668" s="53" t="s">
        <v>2547</v>
      </c>
      <c r="I668" s="53" t="s">
        <v>844</v>
      </c>
    </row>
    <row r="669" customFormat="false" ht="11.25" hidden="false" customHeight="true" outlineLevel="0" collapsed="false">
      <c r="A669" s="53" t="s">
        <v>2190</v>
      </c>
      <c r="B669" s="53" t="s">
        <v>14</v>
      </c>
      <c r="C669" s="53" t="s">
        <v>3371</v>
      </c>
      <c r="D669" s="53" t="s">
        <v>3372</v>
      </c>
      <c r="E669" s="53" t="s">
        <v>3373</v>
      </c>
      <c r="F669" s="53" t="s">
        <v>3374</v>
      </c>
      <c r="I669" s="53" t="s">
        <v>844</v>
      </c>
    </row>
    <row r="670" customFormat="false" ht="11.25" hidden="false" customHeight="true" outlineLevel="0" collapsed="false">
      <c r="A670" s="53" t="s">
        <v>2190</v>
      </c>
      <c r="B670" s="53" t="s">
        <v>14</v>
      </c>
      <c r="C670" s="53" t="s">
        <v>3008</v>
      </c>
      <c r="D670" s="53" t="s">
        <v>3009</v>
      </c>
      <c r="E670" s="53" t="s">
        <v>3010</v>
      </c>
      <c r="F670" s="53" t="s">
        <v>2222</v>
      </c>
      <c r="I670" s="53" t="s">
        <v>844</v>
      </c>
    </row>
    <row r="671" customFormat="false" ht="11.25" hidden="false" customHeight="true" outlineLevel="0" collapsed="false">
      <c r="A671" s="53" t="s">
        <v>2190</v>
      </c>
      <c r="B671" s="53" t="s">
        <v>14</v>
      </c>
      <c r="C671" s="53" t="s">
        <v>3014</v>
      </c>
      <c r="D671" s="53" t="s">
        <v>3015</v>
      </c>
      <c r="E671" s="53" t="s">
        <v>3016</v>
      </c>
      <c r="F671" s="53" t="s">
        <v>2222</v>
      </c>
      <c r="I671" s="53" t="s">
        <v>844</v>
      </c>
    </row>
    <row r="672" customFormat="false" ht="11.25" hidden="false" customHeight="true" outlineLevel="0" collapsed="false">
      <c r="A672" s="53" t="s">
        <v>2190</v>
      </c>
      <c r="B672" s="53" t="s">
        <v>14</v>
      </c>
      <c r="C672" s="53" t="s">
        <v>3375</v>
      </c>
      <c r="D672" s="53" t="s">
        <v>3376</v>
      </c>
      <c r="E672" s="53" t="s">
        <v>3377</v>
      </c>
      <c r="F672" s="53" t="s">
        <v>2258</v>
      </c>
      <c r="G672" s="53" t="s">
        <v>3378</v>
      </c>
      <c r="I672" s="53" t="s">
        <v>844</v>
      </c>
    </row>
    <row r="673" customFormat="false" ht="11.25" hidden="false" customHeight="true" outlineLevel="0" collapsed="false">
      <c r="A673" s="53" t="s">
        <v>2190</v>
      </c>
      <c r="B673" s="53" t="s">
        <v>14</v>
      </c>
      <c r="C673" s="53" t="s">
        <v>3017</v>
      </c>
      <c r="D673" s="53" t="s">
        <v>3018</v>
      </c>
      <c r="E673" s="53" t="s">
        <v>2688</v>
      </c>
      <c r="F673" s="53" t="s">
        <v>2226</v>
      </c>
      <c r="I673" s="53" t="s">
        <v>844</v>
      </c>
    </row>
    <row r="674" customFormat="false" ht="11.25" hidden="false" customHeight="true" outlineLevel="0" collapsed="false">
      <c r="A674" s="53" t="s">
        <v>2190</v>
      </c>
      <c r="B674" s="53" t="s">
        <v>14</v>
      </c>
      <c r="C674" s="53" t="s">
        <v>3019</v>
      </c>
      <c r="D674" s="53" t="s">
        <v>3018</v>
      </c>
      <c r="E674" s="53" t="s">
        <v>2688</v>
      </c>
      <c r="F674" s="53" t="s">
        <v>3020</v>
      </c>
      <c r="I674" s="53" t="s">
        <v>844</v>
      </c>
    </row>
    <row r="675" customFormat="false" ht="11.25" hidden="false" customHeight="true" outlineLevel="0" collapsed="false">
      <c r="A675" s="53" t="s">
        <v>2190</v>
      </c>
      <c r="B675" s="53" t="s">
        <v>14</v>
      </c>
      <c r="C675" s="53" t="s">
        <v>3025</v>
      </c>
      <c r="D675" s="53" t="s">
        <v>3026</v>
      </c>
      <c r="E675" s="53" t="s">
        <v>3027</v>
      </c>
      <c r="F675" s="53" t="s">
        <v>3028</v>
      </c>
      <c r="I675" s="53" t="s">
        <v>844</v>
      </c>
    </row>
    <row r="676" customFormat="false" ht="11.25" hidden="false" customHeight="true" outlineLevel="0" collapsed="false">
      <c r="A676" s="53" t="s">
        <v>2190</v>
      </c>
      <c r="B676" s="53" t="s">
        <v>14</v>
      </c>
      <c r="C676" s="53" t="s">
        <v>3029</v>
      </c>
      <c r="D676" s="53" t="s">
        <v>3030</v>
      </c>
      <c r="E676" s="53" t="s">
        <v>3031</v>
      </c>
      <c r="F676" s="53" t="s">
        <v>2258</v>
      </c>
      <c r="I676" s="53" t="s">
        <v>844</v>
      </c>
    </row>
    <row r="677" customFormat="false" ht="11.25" hidden="false" customHeight="true" outlineLevel="0" collapsed="false">
      <c r="A677" s="53" t="s">
        <v>2190</v>
      </c>
      <c r="B677" s="53" t="s">
        <v>14</v>
      </c>
      <c r="C677" s="53" t="s">
        <v>3383</v>
      </c>
      <c r="D677" s="53" t="s">
        <v>3384</v>
      </c>
      <c r="E677" s="53" t="s">
        <v>3385</v>
      </c>
      <c r="F677" s="53" t="s">
        <v>2234</v>
      </c>
      <c r="I677" s="53" t="s">
        <v>844</v>
      </c>
    </row>
    <row r="678" customFormat="false" ht="11.25" hidden="false" customHeight="true" outlineLevel="0" collapsed="false">
      <c r="A678" s="53" t="s">
        <v>2190</v>
      </c>
      <c r="B678" s="53" t="s">
        <v>14</v>
      </c>
      <c r="C678" s="53" t="s">
        <v>3484</v>
      </c>
      <c r="D678" s="53" t="s">
        <v>3485</v>
      </c>
      <c r="E678" s="53" t="s">
        <v>3486</v>
      </c>
      <c r="F678" s="53" t="s">
        <v>2409</v>
      </c>
      <c r="H678" s="53" t="s">
        <v>3262</v>
      </c>
      <c r="I678" s="53" t="s">
        <v>844</v>
      </c>
    </row>
    <row r="679" customFormat="false" ht="11.25" hidden="false" customHeight="true" outlineLevel="0" collapsed="false">
      <c r="A679" s="53" t="s">
        <v>2190</v>
      </c>
      <c r="B679" s="53" t="s">
        <v>14</v>
      </c>
      <c r="C679" s="53" t="s">
        <v>3044</v>
      </c>
      <c r="D679" s="53" t="s">
        <v>3045</v>
      </c>
      <c r="E679" s="53" t="s">
        <v>2292</v>
      </c>
      <c r="F679" s="53" t="s">
        <v>3046</v>
      </c>
      <c r="I679" s="53" t="s">
        <v>844</v>
      </c>
    </row>
    <row r="680" customFormat="false" ht="11.25" hidden="false" customHeight="true" outlineLevel="0" collapsed="false">
      <c r="A680" s="53" t="s">
        <v>2190</v>
      </c>
      <c r="B680" s="53" t="s">
        <v>14</v>
      </c>
      <c r="C680" s="53" t="s">
        <v>3053</v>
      </c>
      <c r="D680" s="53" t="s">
        <v>3054</v>
      </c>
      <c r="E680" s="53" t="s">
        <v>3055</v>
      </c>
      <c r="F680" s="53" t="s">
        <v>3056</v>
      </c>
      <c r="I680" s="53" t="s">
        <v>844</v>
      </c>
    </row>
    <row r="681" customFormat="false" ht="11.25" hidden="false" customHeight="true" outlineLevel="0" collapsed="false">
      <c r="A681" s="53" t="s">
        <v>2190</v>
      </c>
      <c r="B681" s="53" t="s">
        <v>14</v>
      </c>
      <c r="C681" s="53" t="s">
        <v>3403</v>
      </c>
      <c r="D681" s="53" t="s">
        <v>3404</v>
      </c>
      <c r="E681" s="53" t="s">
        <v>3405</v>
      </c>
      <c r="F681" s="53" t="s">
        <v>2427</v>
      </c>
      <c r="I681" s="53" t="s">
        <v>844</v>
      </c>
    </row>
    <row r="682" customFormat="false" ht="11.25" hidden="false" customHeight="true" outlineLevel="0" collapsed="false">
      <c r="A682" s="53" t="s">
        <v>2190</v>
      </c>
      <c r="B682" s="53" t="s">
        <v>14</v>
      </c>
      <c r="C682" s="53" t="s">
        <v>3406</v>
      </c>
      <c r="D682" s="53" t="s">
        <v>3407</v>
      </c>
      <c r="E682" s="53" t="s">
        <v>3408</v>
      </c>
      <c r="F682" s="53" t="s">
        <v>2409</v>
      </c>
      <c r="H682" s="53" t="s">
        <v>2498</v>
      </c>
      <c r="I682" s="53" t="s">
        <v>844</v>
      </c>
    </row>
    <row r="683" customFormat="false" ht="11.25" hidden="false" customHeight="true" outlineLevel="0" collapsed="false">
      <c r="A683" s="53" t="s">
        <v>2190</v>
      </c>
      <c r="B683" s="53" t="s">
        <v>14</v>
      </c>
      <c r="C683" s="53" t="s">
        <v>3409</v>
      </c>
      <c r="D683" s="53" t="s">
        <v>3410</v>
      </c>
      <c r="E683" s="53" t="s">
        <v>3411</v>
      </c>
      <c r="F683" s="53" t="s">
        <v>2427</v>
      </c>
      <c r="H683" s="53" t="s">
        <v>3412</v>
      </c>
      <c r="I683" s="53" t="s">
        <v>844</v>
      </c>
    </row>
    <row r="684" customFormat="false" ht="11.25" hidden="false" customHeight="true" outlineLevel="0" collapsed="false">
      <c r="A684" s="53" t="s">
        <v>2190</v>
      </c>
      <c r="B684" s="53" t="s">
        <v>14</v>
      </c>
      <c r="C684" s="53" t="s">
        <v>3413</v>
      </c>
      <c r="D684" s="53" t="s">
        <v>3414</v>
      </c>
      <c r="E684" s="53" t="s">
        <v>3415</v>
      </c>
      <c r="F684" s="53" t="s">
        <v>3416</v>
      </c>
      <c r="H684" s="53" t="s">
        <v>3417</v>
      </c>
      <c r="I684" s="53" t="s">
        <v>844</v>
      </c>
    </row>
    <row r="685" customFormat="false" ht="11.25" hidden="false" customHeight="true" outlineLevel="0" collapsed="false">
      <c r="A685" s="53" t="s">
        <v>2190</v>
      </c>
      <c r="B685" s="53" t="s">
        <v>14</v>
      </c>
      <c r="C685" s="53" t="s">
        <v>3081</v>
      </c>
      <c r="D685" s="53" t="s">
        <v>3082</v>
      </c>
      <c r="E685" s="53" t="s">
        <v>3027</v>
      </c>
      <c r="F685" s="53" t="s">
        <v>3083</v>
      </c>
      <c r="G685" s="53" t="s">
        <v>3084</v>
      </c>
      <c r="I685" s="53" t="s">
        <v>844</v>
      </c>
    </row>
    <row r="686" customFormat="false" ht="11.25" hidden="false" customHeight="true" outlineLevel="0" collapsed="false">
      <c r="A686" s="53" t="s">
        <v>2190</v>
      </c>
      <c r="B686" s="53" t="s">
        <v>14</v>
      </c>
      <c r="C686" s="53" t="s">
        <v>3093</v>
      </c>
      <c r="D686" s="53" t="s">
        <v>3094</v>
      </c>
      <c r="E686" s="53" t="s">
        <v>3095</v>
      </c>
      <c r="F686" s="53" t="s">
        <v>3096</v>
      </c>
      <c r="H686" s="53" t="s">
        <v>2214</v>
      </c>
      <c r="I686" s="53" t="s">
        <v>844</v>
      </c>
    </row>
    <row r="687" customFormat="false" ht="11.25" hidden="false" customHeight="true" outlineLevel="0" collapsed="false">
      <c r="A687" s="53" t="s">
        <v>2190</v>
      </c>
      <c r="B687" s="53" t="s">
        <v>14</v>
      </c>
      <c r="C687" s="53" t="s">
        <v>3097</v>
      </c>
      <c r="D687" s="53" t="s">
        <v>3098</v>
      </c>
      <c r="E687" s="53" t="s">
        <v>2662</v>
      </c>
      <c r="F687" s="53" t="s">
        <v>2194</v>
      </c>
      <c r="H687" s="53" t="s">
        <v>2704</v>
      </c>
      <c r="I687" s="53" t="s">
        <v>844</v>
      </c>
    </row>
    <row r="688" customFormat="false" ht="11.25" hidden="false" customHeight="true" outlineLevel="0" collapsed="false">
      <c r="A688" s="53" t="s">
        <v>2190</v>
      </c>
      <c r="B688" s="53" t="s">
        <v>14</v>
      </c>
      <c r="C688" s="53" t="s">
        <v>3099</v>
      </c>
      <c r="D688" s="53" t="s">
        <v>3100</v>
      </c>
      <c r="E688" s="53" t="s">
        <v>2662</v>
      </c>
      <c r="F688" s="53" t="s">
        <v>3101</v>
      </c>
      <c r="I688" s="53" t="s">
        <v>844</v>
      </c>
    </row>
    <row r="689" customFormat="false" ht="11.25" hidden="false" customHeight="true" outlineLevel="0" collapsed="false">
      <c r="A689" s="53" t="s">
        <v>2190</v>
      </c>
      <c r="B689" s="53" t="s">
        <v>14</v>
      </c>
      <c r="C689" s="53" t="s">
        <v>3105</v>
      </c>
      <c r="D689" s="53" t="s">
        <v>3106</v>
      </c>
      <c r="E689" s="53" t="s">
        <v>3107</v>
      </c>
      <c r="F689" s="53" t="s">
        <v>2208</v>
      </c>
      <c r="H689" s="53" t="s">
        <v>3108</v>
      </c>
      <c r="I689" s="53" t="s">
        <v>844</v>
      </c>
    </row>
    <row r="690" customFormat="false" ht="11.25" hidden="false" customHeight="true" outlineLevel="0" collapsed="false">
      <c r="A690" s="53" t="s">
        <v>2190</v>
      </c>
      <c r="B690" s="53" t="s">
        <v>14</v>
      </c>
      <c r="C690" s="53" t="s">
        <v>3418</v>
      </c>
      <c r="D690" s="53" t="s">
        <v>3419</v>
      </c>
      <c r="E690" s="53" t="s">
        <v>2292</v>
      </c>
      <c r="F690" s="53" t="s">
        <v>3420</v>
      </c>
      <c r="H690" s="53" t="s">
        <v>3421</v>
      </c>
      <c r="I690" s="53" t="s">
        <v>844</v>
      </c>
    </row>
    <row r="691" customFormat="false" ht="11.25" hidden="false" customHeight="true" outlineLevel="0" collapsed="false">
      <c r="A691" s="53" t="s">
        <v>2190</v>
      </c>
      <c r="B691" s="53" t="s">
        <v>14</v>
      </c>
      <c r="C691" s="53" t="s">
        <v>2235</v>
      </c>
      <c r="D691" s="53" t="s">
        <v>2236</v>
      </c>
      <c r="E691" s="53" t="s">
        <v>2237</v>
      </c>
      <c r="F691" s="53" t="s">
        <v>2238</v>
      </c>
      <c r="I691" s="53" t="s">
        <v>1554</v>
      </c>
    </row>
    <row r="692" customFormat="false" ht="11.25" hidden="false" customHeight="true" outlineLevel="0" collapsed="false">
      <c r="A692" s="53" t="s">
        <v>2190</v>
      </c>
      <c r="B692" s="53" t="s">
        <v>14</v>
      </c>
      <c r="C692" s="53" t="s">
        <v>3487</v>
      </c>
      <c r="D692" s="53" t="s">
        <v>3488</v>
      </c>
      <c r="E692" s="53" t="s">
        <v>3489</v>
      </c>
      <c r="F692" s="53" t="s">
        <v>2409</v>
      </c>
      <c r="I692" s="53" t="s">
        <v>1554</v>
      </c>
    </row>
    <row r="693" customFormat="false" ht="11.25" hidden="false" customHeight="true" outlineLevel="0" collapsed="false">
      <c r="A693" s="53" t="s">
        <v>2190</v>
      </c>
      <c r="B693" s="53" t="s">
        <v>14</v>
      </c>
      <c r="C693" s="53" t="s">
        <v>3490</v>
      </c>
      <c r="D693" s="53" t="s">
        <v>3491</v>
      </c>
      <c r="E693" s="53" t="s">
        <v>3492</v>
      </c>
      <c r="F693" s="53" t="s">
        <v>2258</v>
      </c>
      <c r="I693" s="53" t="s">
        <v>1554</v>
      </c>
    </row>
    <row r="694" customFormat="false" ht="11.25" hidden="false" customHeight="true" outlineLevel="0" collapsed="false">
      <c r="A694" s="53" t="s">
        <v>2190</v>
      </c>
      <c r="B694" s="53" t="s">
        <v>14</v>
      </c>
      <c r="C694" s="53" t="s">
        <v>3493</v>
      </c>
      <c r="D694" s="53" t="s">
        <v>3494</v>
      </c>
      <c r="E694" s="53" t="s">
        <v>3495</v>
      </c>
      <c r="F694" s="53" t="s">
        <v>596</v>
      </c>
      <c r="I694" s="53" t="s">
        <v>1554</v>
      </c>
    </row>
    <row r="695" customFormat="false" ht="11.25" hidden="false" customHeight="true" outlineLevel="0" collapsed="false">
      <c r="A695" s="53" t="s">
        <v>2190</v>
      </c>
      <c r="B695" s="53" t="s">
        <v>14</v>
      </c>
      <c r="C695" s="53" t="s">
        <v>2439</v>
      </c>
      <c r="D695" s="53" t="s">
        <v>2440</v>
      </c>
      <c r="E695" s="53" t="s">
        <v>2441</v>
      </c>
      <c r="F695" s="53" t="s">
        <v>2442</v>
      </c>
      <c r="I695" s="53" t="s">
        <v>1554</v>
      </c>
    </row>
    <row r="696" customFormat="false" ht="11.25" hidden="false" customHeight="true" outlineLevel="0" collapsed="false">
      <c r="A696" s="53" t="s">
        <v>2190</v>
      </c>
      <c r="B696" s="53" t="s">
        <v>14</v>
      </c>
      <c r="D696" s="53" t="s">
        <v>2453</v>
      </c>
      <c r="E696" s="53" t="s">
        <v>2454</v>
      </c>
      <c r="F696" s="53" t="s">
        <v>2258</v>
      </c>
      <c r="I696" s="53" t="s">
        <v>1554</v>
      </c>
    </row>
    <row r="697" customFormat="false" ht="11.25" hidden="false" customHeight="true" outlineLevel="0" collapsed="false">
      <c r="A697" s="53" t="s">
        <v>2190</v>
      </c>
      <c r="B697" s="53" t="s">
        <v>14</v>
      </c>
      <c r="C697" s="53" t="s">
        <v>2465</v>
      </c>
      <c r="D697" s="53" t="s">
        <v>2466</v>
      </c>
      <c r="E697" s="53" t="s">
        <v>2467</v>
      </c>
      <c r="F697" s="53" t="s">
        <v>2468</v>
      </c>
      <c r="I697" s="53" t="s">
        <v>1554</v>
      </c>
    </row>
    <row r="698" customFormat="false" ht="11.25" hidden="false" customHeight="true" outlineLevel="0" collapsed="false">
      <c r="A698" s="53" t="s">
        <v>2190</v>
      </c>
      <c r="B698" s="53" t="s">
        <v>14</v>
      </c>
      <c r="C698" s="53" t="s">
        <v>2477</v>
      </c>
      <c r="D698" s="53" t="s">
        <v>2478</v>
      </c>
      <c r="E698" s="53" t="s">
        <v>2479</v>
      </c>
      <c r="F698" s="53" t="s">
        <v>2480</v>
      </c>
      <c r="I698" s="53" t="s">
        <v>1554</v>
      </c>
    </row>
    <row r="699" customFormat="false" ht="11.25" hidden="false" customHeight="true" outlineLevel="0" collapsed="false">
      <c r="A699" s="53" t="s">
        <v>2190</v>
      </c>
      <c r="B699" s="53" t="s">
        <v>14</v>
      </c>
      <c r="C699" s="53" t="s">
        <v>3496</v>
      </c>
      <c r="D699" s="53" t="s">
        <v>3497</v>
      </c>
      <c r="E699" s="53" t="s">
        <v>3498</v>
      </c>
      <c r="F699" s="53" t="s">
        <v>3499</v>
      </c>
      <c r="G699" s="53" t="s">
        <v>3500</v>
      </c>
      <c r="H699" s="53" t="s">
        <v>3501</v>
      </c>
      <c r="I699" s="53" t="s">
        <v>1554</v>
      </c>
    </row>
    <row r="700" customFormat="false" ht="11.25" hidden="false" customHeight="true" outlineLevel="0" collapsed="false">
      <c r="A700" s="53" t="s">
        <v>2190</v>
      </c>
      <c r="B700" s="53" t="s">
        <v>14</v>
      </c>
      <c r="C700" s="53" t="s">
        <v>3502</v>
      </c>
      <c r="D700" s="53" t="s">
        <v>3503</v>
      </c>
      <c r="E700" s="53" t="s">
        <v>3504</v>
      </c>
      <c r="F700" s="53" t="s">
        <v>2480</v>
      </c>
      <c r="I700" s="53" t="s">
        <v>1554</v>
      </c>
    </row>
    <row r="701" customFormat="false" ht="11.25" hidden="false" customHeight="true" outlineLevel="0" collapsed="false">
      <c r="A701" s="53" t="s">
        <v>2190</v>
      </c>
      <c r="B701" s="53" t="s">
        <v>14</v>
      </c>
      <c r="C701" s="53" t="s">
        <v>3505</v>
      </c>
      <c r="D701" s="53" t="s">
        <v>3506</v>
      </c>
      <c r="E701" s="53" t="s">
        <v>3507</v>
      </c>
      <c r="F701" s="53" t="s">
        <v>2254</v>
      </c>
      <c r="I701" s="53" t="s">
        <v>1554</v>
      </c>
    </row>
    <row r="702" customFormat="false" ht="11.25" hidden="false" customHeight="true" outlineLevel="0" collapsed="false">
      <c r="A702" s="53" t="s">
        <v>2190</v>
      </c>
      <c r="B702" s="53" t="s">
        <v>14</v>
      </c>
      <c r="C702" s="53" t="s">
        <v>2548</v>
      </c>
      <c r="D702" s="53" t="s">
        <v>2544</v>
      </c>
      <c r="E702" s="53" t="s">
        <v>2545</v>
      </c>
      <c r="F702" s="53" t="s">
        <v>2546</v>
      </c>
      <c r="I702" s="53" t="s">
        <v>1554</v>
      </c>
    </row>
    <row r="703" customFormat="false" ht="11.25" hidden="false" customHeight="true" outlineLevel="0" collapsed="false">
      <c r="A703" s="53" t="s">
        <v>2190</v>
      </c>
      <c r="B703" s="53" t="s">
        <v>14</v>
      </c>
      <c r="C703" s="53" t="s">
        <v>3508</v>
      </c>
      <c r="D703" s="53" t="s">
        <v>3509</v>
      </c>
      <c r="E703" s="53" t="s">
        <v>3510</v>
      </c>
      <c r="F703" s="53" t="s">
        <v>2222</v>
      </c>
      <c r="I703" s="53" t="s">
        <v>1554</v>
      </c>
    </row>
    <row r="704" customFormat="false" ht="11.25" hidden="false" customHeight="true" outlineLevel="0" collapsed="false">
      <c r="A704" s="53" t="s">
        <v>2190</v>
      </c>
      <c r="B704" s="53" t="s">
        <v>14</v>
      </c>
      <c r="C704" s="53" t="s">
        <v>3511</v>
      </c>
      <c r="D704" s="53" t="s">
        <v>3512</v>
      </c>
      <c r="E704" s="53" t="s">
        <v>3513</v>
      </c>
      <c r="F704" s="53" t="s">
        <v>2254</v>
      </c>
      <c r="I704" s="53" t="s">
        <v>1554</v>
      </c>
    </row>
    <row r="705" customFormat="false" ht="11.25" hidden="false" customHeight="true" outlineLevel="0" collapsed="false">
      <c r="A705" s="53" t="s">
        <v>2190</v>
      </c>
      <c r="B705" s="53" t="s">
        <v>14</v>
      </c>
      <c r="C705" s="53" t="s">
        <v>3514</v>
      </c>
      <c r="D705" s="53" t="s">
        <v>3515</v>
      </c>
      <c r="E705" s="53" t="s">
        <v>3516</v>
      </c>
      <c r="F705" s="53" t="s">
        <v>2480</v>
      </c>
      <c r="G705" s="53" t="s">
        <v>3517</v>
      </c>
      <c r="I705" s="53" t="s">
        <v>1554</v>
      </c>
    </row>
    <row r="706" customFormat="false" ht="11.25" hidden="false" customHeight="true" outlineLevel="0" collapsed="false">
      <c r="A706" s="53" t="s">
        <v>2190</v>
      </c>
      <c r="B706" s="53" t="s">
        <v>14</v>
      </c>
      <c r="C706" s="53" t="s">
        <v>3518</v>
      </c>
      <c r="D706" s="53" t="s">
        <v>3519</v>
      </c>
      <c r="E706" s="53" t="s">
        <v>3520</v>
      </c>
      <c r="F706" s="53" t="s">
        <v>2234</v>
      </c>
      <c r="I706" s="53" t="s">
        <v>1554</v>
      </c>
    </row>
    <row r="707" customFormat="false" ht="11.25" hidden="false" customHeight="true" outlineLevel="0" collapsed="false">
      <c r="A707" s="53" t="s">
        <v>2190</v>
      </c>
      <c r="B707" s="53" t="s">
        <v>14</v>
      </c>
      <c r="C707" s="53" t="s">
        <v>3521</v>
      </c>
      <c r="D707" s="53" t="s">
        <v>3522</v>
      </c>
      <c r="E707" s="53" t="s">
        <v>3523</v>
      </c>
      <c r="F707" s="53" t="s">
        <v>2208</v>
      </c>
      <c r="I707" s="53" t="s">
        <v>1554</v>
      </c>
    </row>
    <row r="708" customFormat="false" ht="11.25" hidden="false" customHeight="true" outlineLevel="0" collapsed="false">
      <c r="A708" s="53" t="s">
        <v>2190</v>
      </c>
      <c r="B708" s="53" t="s">
        <v>14</v>
      </c>
      <c r="C708" s="53" t="s">
        <v>3524</v>
      </c>
      <c r="D708" s="53" t="s">
        <v>3525</v>
      </c>
      <c r="E708" s="53" t="s">
        <v>3526</v>
      </c>
      <c r="F708" s="53" t="s">
        <v>2405</v>
      </c>
      <c r="G708" s="53" t="s">
        <v>3527</v>
      </c>
      <c r="H708" s="53" t="s">
        <v>3528</v>
      </c>
      <c r="I708" s="53" t="s">
        <v>1554</v>
      </c>
    </row>
    <row r="709" customFormat="false" ht="11.25" hidden="false" customHeight="true" outlineLevel="0" collapsed="false">
      <c r="A709" s="53" t="s">
        <v>2190</v>
      </c>
      <c r="B709" s="53" t="s">
        <v>14</v>
      </c>
      <c r="C709" s="53" t="s">
        <v>3529</v>
      </c>
      <c r="D709" s="53" t="s">
        <v>3530</v>
      </c>
      <c r="E709" s="53" t="s">
        <v>3531</v>
      </c>
      <c r="F709" s="53" t="s">
        <v>3532</v>
      </c>
      <c r="G709" s="53" t="s">
        <v>3533</v>
      </c>
      <c r="I709" s="53" t="s">
        <v>1554</v>
      </c>
    </row>
    <row r="710" customFormat="false" ht="11.25" hidden="false" customHeight="true" outlineLevel="0" collapsed="false">
      <c r="A710" s="53" t="s">
        <v>2190</v>
      </c>
      <c r="B710" s="53" t="s">
        <v>14</v>
      </c>
      <c r="C710" s="53" t="s">
        <v>3534</v>
      </c>
      <c r="D710" s="53" t="s">
        <v>3535</v>
      </c>
      <c r="E710" s="53" t="s">
        <v>3536</v>
      </c>
      <c r="F710" s="53" t="s">
        <v>2234</v>
      </c>
      <c r="I710" s="53" t="s">
        <v>1554</v>
      </c>
    </row>
    <row r="711" customFormat="false" ht="11.25" hidden="false" customHeight="true" outlineLevel="0" collapsed="false">
      <c r="A711" s="53" t="s">
        <v>2190</v>
      </c>
      <c r="B711" s="53" t="s">
        <v>14</v>
      </c>
      <c r="C711" s="53" t="s">
        <v>3537</v>
      </c>
      <c r="D711" s="53" t="s">
        <v>3538</v>
      </c>
      <c r="E711" s="53" t="s">
        <v>3539</v>
      </c>
      <c r="F711" s="53" t="s">
        <v>2472</v>
      </c>
      <c r="G711" s="53" t="s">
        <v>3540</v>
      </c>
      <c r="I711" s="53" t="s">
        <v>1554</v>
      </c>
    </row>
    <row r="712" customFormat="false" ht="11.25" hidden="false" customHeight="true" outlineLevel="0" collapsed="false">
      <c r="A712" s="53" t="s">
        <v>2190</v>
      </c>
      <c r="B712" s="53" t="s">
        <v>14</v>
      </c>
      <c r="C712" s="53" t="s">
        <v>3541</v>
      </c>
      <c r="D712" s="53" t="s">
        <v>3542</v>
      </c>
      <c r="E712" s="53" t="s">
        <v>3543</v>
      </c>
      <c r="F712" s="53" t="s">
        <v>2262</v>
      </c>
      <c r="I712" s="53" t="s">
        <v>1554</v>
      </c>
    </row>
    <row r="713" customFormat="false" ht="11.25" hidden="false" customHeight="true" outlineLevel="0" collapsed="false">
      <c r="A713" s="53" t="s">
        <v>2190</v>
      </c>
      <c r="B713" s="53" t="s">
        <v>14</v>
      </c>
      <c r="C713" s="53" t="s">
        <v>3544</v>
      </c>
      <c r="D713" s="53" t="s">
        <v>3545</v>
      </c>
      <c r="E713" s="53" t="s">
        <v>3546</v>
      </c>
      <c r="F713" s="53" t="s">
        <v>2234</v>
      </c>
      <c r="G713" s="53" t="s">
        <v>3547</v>
      </c>
      <c r="I713" s="53" t="s">
        <v>1554</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10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cols>
    <col collapsed="false" customWidth="true" hidden="false" outlineLevel="0" max="1" min="1" style="53" width="9.14"/>
  </cols>
  <sheetData>
    <row r="1" customFormat="false" ht="11.25" hidden="false" customHeight="true" outlineLevel="0" collapsed="false">
      <c r="A1" s="53" t="s">
        <v>3548</v>
      </c>
      <c r="B1" s="173" t="s">
        <v>3549</v>
      </c>
      <c r="C1" s="173" t="s">
        <v>3550</v>
      </c>
      <c r="D1" s="173" t="s">
        <v>3551</v>
      </c>
      <c r="E1" s="173" t="s">
        <v>3552</v>
      </c>
      <c r="F1" s="173" t="s">
        <v>3553</v>
      </c>
      <c r="G1" s="173" t="s">
        <v>3554</v>
      </c>
    </row>
    <row r="2" customFormat="false" ht="11.25" hidden="false" customHeight="true" outlineLevel="0" collapsed="false">
      <c r="A2" s="53" t="s">
        <v>14</v>
      </c>
      <c r="B2" s="53" t="s">
        <v>3555</v>
      </c>
      <c r="C2" s="53" t="s">
        <v>3556</v>
      </c>
      <c r="D2" s="53" t="s">
        <v>3557</v>
      </c>
      <c r="E2" s="53" t="s">
        <v>3558</v>
      </c>
      <c r="F2" s="53" t="s">
        <v>3559</v>
      </c>
      <c r="G2" s="53" t="s">
        <v>117</v>
      </c>
    </row>
    <row r="3" customFormat="false" ht="11.25" hidden="false" customHeight="true" outlineLevel="0" collapsed="false">
      <c r="A3" s="53" t="s">
        <v>14</v>
      </c>
      <c r="B3" s="53" t="s">
        <v>3555</v>
      </c>
      <c r="C3" s="53" t="s">
        <v>3556</v>
      </c>
      <c r="D3" s="53" t="s">
        <v>3555</v>
      </c>
      <c r="E3" s="53" t="s">
        <v>3556</v>
      </c>
      <c r="F3" s="53" t="s">
        <v>3560</v>
      </c>
      <c r="G3" s="53" t="s">
        <v>99</v>
      </c>
    </row>
    <row r="4" customFormat="false" ht="11.25" hidden="false" customHeight="true" outlineLevel="0" collapsed="false">
      <c r="A4" s="53" t="s">
        <v>14</v>
      </c>
      <c r="B4" s="53" t="s">
        <v>3555</v>
      </c>
      <c r="C4" s="53" t="s">
        <v>3556</v>
      </c>
      <c r="D4" s="53" t="s">
        <v>3561</v>
      </c>
      <c r="E4" s="53" t="s">
        <v>3562</v>
      </c>
      <c r="F4" s="53" t="s">
        <v>3559</v>
      </c>
      <c r="G4" s="53" t="s">
        <v>86</v>
      </c>
    </row>
    <row r="5" customFormat="false" ht="11.25" hidden="false" customHeight="true" outlineLevel="0" collapsed="false">
      <c r="A5" s="53" t="s">
        <v>14</v>
      </c>
      <c r="B5" s="53" t="s">
        <v>3555</v>
      </c>
      <c r="C5" s="53" t="s">
        <v>3556</v>
      </c>
      <c r="D5" s="53" t="s">
        <v>3563</v>
      </c>
      <c r="E5" s="53" t="s">
        <v>3564</v>
      </c>
      <c r="F5" s="53" t="s">
        <v>3559</v>
      </c>
      <c r="G5" s="53" t="s">
        <v>87</v>
      </c>
    </row>
    <row r="6" customFormat="false" ht="11.25" hidden="false" customHeight="true" outlineLevel="0" collapsed="false">
      <c r="A6" s="53" t="s">
        <v>14</v>
      </c>
      <c r="B6" s="53" t="s">
        <v>3565</v>
      </c>
      <c r="C6" s="53" t="s">
        <v>3566</v>
      </c>
      <c r="D6" s="53" t="s">
        <v>3567</v>
      </c>
      <c r="E6" s="53" t="s">
        <v>3568</v>
      </c>
      <c r="F6" s="53" t="s">
        <v>3559</v>
      </c>
      <c r="G6" s="53" t="s">
        <v>118</v>
      </c>
    </row>
    <row r="7" customFormat="false" ht="11.25" hidden="false" customHeight="true" outlineLevel="0" collapsed="false">
      <c r="A7" s="53" t="s">
        <v>14</v>
      </c>
      <c r="B7" s="53" t="s">
        <v>3565</v>
      </c>
      <c r="C7" s="53" t="s">
        <v>3566</v>
      </c>
      <c r="D7" s="53" t="s">
        <v>3565</v>
      </c>
      <c r="E7" s="53" t="s">
        <v>3566</v>
      </c>
      <c r="F7" s="53" t="s">
        <v>3560</v>
      </c>
      <c r="G7" s="53" t="s">
        <v>88</v>
      </c>
    </row>
    <row r="8" customFormat="false" ht="11.25" hidden="false" customHeight="true" outlineLevel="0" collapsed="false">
      <c r="A8" s="53" t="s">
        <v>14</v>
      </c>
      <c r="B8" s="53" t="s">
        <v>3565</v>
      </c>
      <c r="C8" s="53" t="s">
        <v>3566</v>
      </c>
      <c r="D8" s="53" t="s">
        <v>3569</v>
      </c>
      <c r="E8" s="53" t="s">
        <v>3570</v>
      </c>
      <c r="F8" s="53" t="s">
        <v>3559</v>
      </c>
      <c r="G8" s="53" t="s">
        <v>89</v>
      </c>
    </row>
    <row r="9" customFormat="false" ht="11.25" hidden="false" customHeight="true" outlineLevel="0" collapsed="false">
      <c r="A9" s="53" t="s">
        <v>14</v>
      </c>
      <c r="B9" s="53" t="s">
        <v>3565</v>
      </c>
      <c r="C9" s="53" t="s">
        <v>3566</v>
      </c>
      <c r="D9" s="53" t="s">
        <v>3571</v>
      </c>
      <c r="E9" s="53" t="s">
        <v>3572</v>
      </c>
      <c r="F9" s="53" t="s">
        <v>3559</v>
      </c>
      <c r="G9" s="53" t="s">
        <v>119</v>
      </c>
    </row>
    <row r="10" customFormat="false" ht="11.25" hidden="false" customHeight="true" outlineLevel="0" collapsed="false">
      <c r="A10" s="53" t="s">
        <v>14</v>
      </c>
      <c r="B10" s="53" t="s">
        <v>3565</v>
      </c>
      <c r="C10" s="53" t="s">
        <v>3566</v>
      </c>
      <c r="D10" s="53" t="s">
        <v>3573</v>
      </c>
      <c r="E10" s="53" t="s">
        <v>3574</v>
      </c>
      <c r="F10" s="53" t="s">
        <v>3559</v>
      </c>
      <c r="G10" s="53" t="s">
        <v>155</v>
      </c>
    </row>
    <row r="11" customFormat="false" ht="11.25" hidden="false" customHeight="true" outlineLevel="0" collapsed="false">
      <c r="A11" s="53" t="s">
        <v>14</v>
      </c>
      <c r="B11" s="53" t="s">
        <v>3565</v>
      </c>
      <c r="C11" s="53" t="s">
        <v>3566</v>
      </c>
      <c r="D11" s="53" t="s">
        <v>3575</v>
      </c>
      <c r="E11" s="53" t="s">
        <v>3576</v>
      </c>
      <c r="F11" s="53" t="s">
        <v>3559</v>
      </c>
      <c r="G11" s="53" t="s">
        <v>156</v>
      </c>
    </row>
    <row r="12" customFormat="false" ht="11.25" hidden="false" customHeight="true" outlineLevel="0" collapsed="false">
      <c r="A12" s="53" t="s">
        <v>14</v>
      </c>
      <c r="B12" s="53" t="s">
        <v>3577</v>
      </c>
      <c r="C12" s="53" t="s">
        <v>3578</v>
      </c>
      <c r="D12" s="53" t="s">
        <v>3577</v>
      </c>
      <c r="E12" s="53" t="s">
        <v>3578</v>
      </c>
      <c r="F12" s="53" t="s">
        <v>3560</v>
      </c>
      <c r="G12" s="53" t="s">
        <v>157</v>
      </c>
    </row>
    <row r="13" customFormat="false" ht="11.25" hidden="false" customHeight="true" outlineLevel="0" collapsed="false">
      <c r="A13" s="53" t="s">
        <v>14</v>
      </c>
      <c r="B13" s="53" t="s">
        <v>3577</v>
      </c>
      <c r="C13" s="53" t="s">
        <v>3578</v>
      </c>
      <c r="D13" s="53" t="s">
        <v>3579</v>
      </c>
      <c r="E13" s="53" t="s">
        <v>3580</v>
      </c>
      <c r="F13" s="53" t="s">
        <v>3559</v>
      </c>
      <c r="G13" s="53" t="s">
        <v>158</v>
      </c>
    </row>
    <row r="14" customFormat="false" ht="11.25" hidden="false" customHeight="true" outlineLevel="0" collapsed="false">
      <c r="A14" s="53" t="s">
        <v>14</v>
      </c>
      <c r="B14" s="53" t="s">
        <v>3577</v>
      </c>
      <c r="C14" s="53" t="s">
        <v>3578</v>
      </c>
      <c r="D14" s="53" t="s">
        <v>3581</v>
      </c>
      <c r="E14" s="53" t="s">
        <v>3582</v>
      </c>
      <c r="F14" s="53" t="s">
        <v>3559</v>
      </c>
      <c r="G14" s="53" t="s">
        <v>159</v>
      </c>
    </row>
    <row r="15" customFormat="false" ht="11.25" hidden="false" customHeight="true" outlineLevel="0" collapsed="false">
      <c r="A15" s="53" t="s">
        <v>14</v>
      </c>
      <c r="B15" s="53" t="s">
        <v>3577</v>
      </c>
      <c r="C15" s="53" t="s">
        <v>3578</v>
      </c>
      <c r="D15" s="53" t="s">
        <v>3583</v>
      </c>
      <c r="E15" s="53" t="s">
        <v>3584</v>
      </c>
      <c r="F15" s="53" t="s">
        <v>3559</v>
      </c>
      <c r="G15" s="53" t="s">
        <v>160</v>
      </c>
    </row>
    <row r="16" customFormat="false" ht="11.25" hidden="false" customHeight="true" outlineLevel="0" collapsed="false">
      <c r="A16" s="53" t="s">
        <v>14</v>
      </c>
      <c r="B16" s="53" t="s">
        <v>3585</v>
      </c>
      <c r="C16" s="53" t="s">
        <v>3586</v>
      </c>
      <c r="D16" s="53" t="s">
        <v>3587</v>
      </c>
      <c r="E16" s="53" t="s">
        <v>3588</v>
      </c>
      <c r="F16" s="53" t="s">
        <v>3559</v>
      </c>
      <c r="G16" s="53" t="s">
        <v>1399</v>
      </c>
    </row>
    <row r="17" customFormat="false" ht="11.25" hidden="false" customHeight="true" outlineLevel="0" collapsed="false">
      <c r="A17" s="53" t="s">
        <v>14</v>
      </c>
      <c r="B17" s="53" t="s">
        <v>3585</v>
      </c>
      <c r="C17" s="53" t="s">
        <v>3586</v>
      </c>
      <c r="D17" s="53" t="s">
        <v>3585</v>
      </c>
      <c r="E17" s="53" t="s">
        <v>3586</v>
      </c>
      <c r="F17" s="53" t="s">
        <v>3560</v>
      </c>
      <c r="G17" s="53" t="s">
        <v>1405</v>
      </c>
    </row>
    <row r="18" customFormat="false" ht="11.25" hidden="false" customHeight="true" outlineLevel="0" collapsed="false">
      <c r="A18" s="53" t="s">
        <v>14</v>
      </c>
      <c r="B18" s="53" t="s">
        <v>3585</v>
      </c>
      <c r="C18" s="53" t="s">
        <v>3586</v>
      </c>
      <c r="D18" s="53" t="s">
        <v>3589</v>
      </c>
      <c r="E18" s="53" t="s">
        <v>3590</v>
      </c>
      <c r="F18" s="53" t="s">
        <v>3591</v>
      </c>
      <c r="G18" s="53" t="s">
        <v>1416</v>
      </c>
    </row>
    <row r="19" customFormat="false" ht="11.25" hidden="false" customHeight="true" outlineLevel="0" collapsed="false">
      <c r="A19" s="53" t="s">
        <v>14</v>
      </c>
      <c r="B19" s="53" t="s">
        <v>3585</v>
      </c>
      <c r="C19" s="53" t="s">
        <v>3586</v>
      </c>
      <c r="D19" s="53" t="s">
        <v>3592</v>
      </c>
      <c r="E19" s="53" t="s">
        <v>3593</v>
      </c>
      <c r="F19" s="53" t="s">
        <v>3559</v>
      </c>
      <c r="G19" s="53" t="s">
        <v>1430</v>
      </c>
    </row>
    <row r="20" customFormat="false" ht="11.25" hidden="false" customHeight="true" outlineLevel="0" collapsed="false">
      <c r="A20" s="53" t="s">
        <v>14</v>
      </c>
      <c r="B20" s="53" t="s">
        <v>3585</v>
      </c>
      <c r="C20" s="53" t="s">
        <v>3586</v>
      </c>
      <c r="D20" s="53" t="s">
        <v>3594</v>
      </c>
      <c r="E20" s="53" t="s">
        <v>3595</v>
      </c>
      <c r="F20" s="53" t="s">
        <v>3559</v>
      </c>
      <c r="G20" s="53" t="s">
        <v>1442</v>
      </c>
    </row>
    <row r="21" customFormat="false" ht="11.25" hidden="false" customHeight="true" outlineLevel="0" collapsed="false">
      <c r="A21" s="53" t="s">
        <v>14</v>
      </c>
      <c r="B21" s="53" t="s">
        <v>3585</v>
      </c>
      <c r="C21" s="53" t="s">
        <v>3586</v>
      </c>
      <c r="D21" s="53" t="s">
        <v>3596</v>
      </c>
      <c r="E21" s="53" t="s">
        <v>3597</v>
      </c>
      <c r="F21" s="53" t="s">
        <v>3559</v>
      </c>
      <c r="G21" s="53" t="s">
        <v>1451</v>
      </c>
    </row>
    <row r="22" customFormat="false" ht="11.25" hidden="false" customHeight="true" outlineLevel="0" collapsed="false">
      <c r="A22" s="53" t="s">
        <v>14</v>
      </c>
      <c r="B22" s="53" t="s">
        <v>3598</v>
      </c>
      <c r="C22" s="53" t="s">
        <v>3599</v>
      </c>
      <c r="D22" s="53" t="s">
        <v>3600</v>
      </c>
      <c r="E22" s="53" t="s">
        <v>3601</v>
      </c>
      <c r="F22" s="53" t="s">
        <v>3591</v>
      </c>
      <c r="G22" s="53" t="s">
        <v>1467</v>
      </c>
    </row>
    <row r="23" customFormat="false" ht="11.25" hidden="false" customHeight="true" outlineLevel="0" collapsed="false">
      <c r="A23" s="53" t="s">
        <v>14</v>
      </c>
      <c r="B23" s="53" t="s">
        <v>3598</v>
      </c>
      <c r="C23" s="53" t="s">
        <v>3599</v>
      </c>
      <c r="D23" s="53" t="s">
        <v>3598</v>
      </c>
      <c r="E23" s="53" t="s">
        <v>3599</v>
      </c>
      <c r="F23" s="53" t="s">
        <v>3560</v>
      </c>
      <c r="G23" s="53" t="s">
        <v>1474</v>
      </c>
    </row>
    <row r="24" customFormat="false" ht="11.25" hidden="false" customHeight="true" outlineLevel="0" collapsed="false">
      <c r="A24" s="53" t="s">
        <v>14</v>
      </c>
      <c r="B24" s="53" t="s">
        <v>3598</v>
      </c>
      <c r="C24" s="53" t="s">
        <v>3599</v>
      </c>
      <c r="D24" s="53" t="s">
        <v>3602</v>
      </c>
      <c r="E24" s="53" t="s">
        <v>3603</v>
      </c>
      <c r="F24" s="53" t="s">
        <v>3559</v>
      </c>
      <c r="G24" s="53" t="s">
        <v>1482</v>
      </c>
    </row>
    <row r="25" customFormat="false" ht="11.25" hidden="false" customHeight="true" outlineLevel="0" collapsed="false">
      <c r="A25" s="53" t="s">
        <v>14</v>
      </c>
      <c r="B25" s="53" t="s">
        <v>3598</v>
      </c>
      <c r="C25" s="53" t="s">
        <v>3599</v>
      </c>
      <c r="D25" s="53" t="s">
        <v>3604</v>
      </c>
      <c r="E25" s="53" t="s">
        <v>3605</v>
      </c>
      <c r="F25" s="53" t="s">
        <v>3559</v>
      </c>
      <c r="G25" s="53" t="s">
        <v>1489</v>
      </c>
    </row>
    <row r="26" customFormat="false" ht="11.25" hidden="false" customHeight="true" outlineLevel="0" collapsed="false">
      <c r="A26" s="53" t="s">
        <v>14</v>
      </c>
      <c r="B26" s="53" t="s">
        <v>3598</v>
      </c>
      <c r="C26" s="53" t="s">
        <v>3599</v>
      </c>
      <c r="D26" s="53" t="s">
        <v>3606</v>
      </c>
      <c r="E26" s="53" t="s">
        <v>3607</v>
      </c>
      <c r="F26" s="53" t="s">
        <v>3559</v>
      </c>
      <c r="G26" s="53" t="s">
        <v>1493</v>
      </c>
    </row>
    <row r="27" customFormat="false" ht="11.25" hidden="false" customHeight="true" outlineLevel="0" collapsed="false">
      <c r="A27" s="53" t="s">
        <v>14</v>
      </c>
      <c r="B27" s="53" t="s">
        <v>3608</v>
      </c>
      <c r="C27" s="53" t="s">
        <v>3609</v>
      </c>
      <c r="D27" s="53" t="s">
        <v>3610</v>
      </c>
      <c r="E27" s="53" t="s">
        <v>3611</v>
      </c>
      <c r="F27" s="53" t="s">
        <v>3559</v>
      </c>
      <c r="G27" s="53" t="s">
        <v>1498</v>
      </c>
    </row>
    <row r="28" customFormat="false" ht="11.25" hidden="false" customHeight="true" outlineLevel="0" collapsed="false">
      <c r="A28" s="53" t="s">
        <v>14</v>
      </c>
      <c r="B28" s="53" t="s">
        <v>3608</v>
      </c>
      <c r="C28" s="53" t="s">
        <v>3609</v>
      </c>
      <c r="D28" s="53" t="s">
        <v>3612</v>
      </c>
      <c r="E28" s="53" t="s">
        <v>3613</v>
      </c>
      <c r="F28" s="53" t="s">
        <v>3591</v>
      </c>
      <c r="G28" s="53" t="s">
        <v>1506</v>
      </c>
    </row>
    <row r="29" customFormat="false" ht="11.25" hidden="false" customHeight="true" outlineLevel="0" collapsed="false">
      <c r="A29" s="53" t="s">
        <v>14</v>
      </c>
      <c r="B29" s="53" t="s">
        <v>3608</v>
      </c>
      <c r="C29" s="53" t="s">
        <v>3609</v>
      </c>
      <c r="D29" s="53" t="s">
        <v>3614</v>
      </c>
      <c r="E29" s="53" t="s">
        <v>3615</v>
      </c>
      <c r="F29" s="53" t="s">
        <v>3559</v>
      </c>
      <c r="G29" s="53" t="s">
        <v>1508</v>
      </c>
    </row>
    <row r="30" customFormat="false" ht="11.25" hidden="false" customHeight="true" outlineLevel="0" collapsed="false">
      <c r="A30" s="53" t="s">
        <v>14</v>
      </c>
      <c r="B30" s="53" t="s">
        <v>3608</v>
      </c>
      <c r="C30" s="53" t="s">
        <v>3609</v>
      </c>
      <c r="D30" s="53" t="s">
        <v>3608</v>
      </c>
      <c r="E30" s="53" t="s">
        <v>3609</v>
      </c>
      <c r="F30" s="53" t="s">
        <v>3560</v>
      </c>
      <c r="G30" s="53" t="s">
        <v>1511</v>
      </c>
    </row>
    <row r="31" customFormat="false" ht="11.25" hidden="false" customHeight="true" outlineLevel="0" collapsed="false">
      <c r="A31" s="53" t="s">
        <v>14</v>
      </c>
      <c r="B31" s="53" t="s">
        <v>3608</v>
      </c>
      <c r="C31" s="53" t="s">
        <v>3609</v>
      </c>
      <c r="D31" s="53" t="s">
        <v>3616</v>
      </c>
      <c r="E31" s="53" t="s">
        <v>3617</v>
      </c>
      <c r="F31" s="53" t="s">
        <v>3559</v>
      </c>
      <c r="G31" s="53" t="s">
        <v>1516</v>
      </c>
    </row>
    <row r="32" customFormat="false" ht="11.25" hidden="false" customHeight="true" outlineLevel="0" collapsed="false">
      <c r="A32" s="53" t="s">
        <v>14</v>
      </c>
      <c r="B32" s="53" t="s">
        <v>3618</v>
      </c>
      <c r="C32" s="53" t="s">
        <v>3619</v>
      </c>
      <c r="D32" s="53" t="s">
        <v>3620</v>
      </c>
      <c r="E32" s="53" t="s">
        <v>3621</v>
      </c>
      <c r="F32" s="53" t="s">
        <v>3591</v>
      </c>
      <c r="G32" s="53" t="s">
        <v>1518</v>
      </c>
    </row>
    <row r="33" customFormat="false" ht="11.25" hidden="false" customHeight="true" outlineLevel="0" collapsed="false">
      <c r="A33" s="53" t="s">
        <v>14</v>
      </c>
      <c r="B33" s="53" t="s">
        <v>3618</v>
      </c>
      <c r="C33" s="53" t="s">
        <v>3619</v>
      </c>
      <c r="D33" s="53" t="s">
        <v>3618</v>
      </c>
      <c r="E33" s="53" t="s">
        <v>3619</v>
      </c>
      <c r="F33" s="53" t="s">
        <v>3560</v>
      </c>
      <c r="G33" s="53" t="s">
        <v>1520</v>
      </c>
    </row>
    <row r="34" customFormat="false" ht="11.25" hidden="false" customHeight="true" outlineLevel="0" collapsed="false">
      <c r="A34" s="53" t="s">
        <v>14</v>
      </c>
      <c r="B34" s="53" t="s">
        <v>3618</v>
      </c>
      <c r="C34" s="53" t="s">
        <v>3619</v>
      </c>
      <c r="D34" s="53" t="s">
        <v>3622</v>
      </c>
      <c r="E34" s="53" t="s">
        <v>3623</v>
      </c>
      <c r="F34" s="53" t="s">
        <v>3559</v>
      </c>
      <c r="G34" s="53" t="s">
        <v>1522</v>
      </c>
    </row>
    <row r="35" customFormat="false" ht="11.25" hidden="false" customHeight="true" outlineLevel="0" collapsed="false">
      <c r="A35" s="53" t="s">
        <v>14</v>
      </c>
      <c r="B35" s="53" t="s">
        <v>3618</v>
      </c>
      <c r="C35" s="53" t="s">
        <v>3619</v>
      </c>
      <c r="D35" s="53" t="s">
        <v>3624</v>
      </c>
      <c r="E35" s="53" t="s">
        <v>3625</v>
      </c>
      <c r="F35" s="53" t="s">
        <v>3559</v>
      </c>
      <c r="G35" s="53" t="s">
        <v>1527</v>
      </c>
    </row>
    <row r="36" customFormat="false" ht="11.25" hidden="false" customHeight="true" outlineLevel="0" collapsed="false">
      <c r="A36" s="53" t="s">
        <v>14</v>
      </c>
      <c r="B36" s="53" t="s">
        <v>3626</v>
      </c>
      <c r="C36" s="53" t="s">
        <v>3627</v>
      </c>
      <c r="D36" s="53" t="s">
        <v>3628</v>
      </c>
      <c r="E36" s="53" t="s">
        <v>3629</v>
      </c>
      <c r="F36" s="53" t="s">
        <v>3559</v>
      </c>
      <c r="G36" s="53" t="s">
        <v>1532</v>
      </c>
    </row>
    <row r="37" customFormat="false" ht="11.25" hidden="false" customHeight="true" outlineLevel="0" collapsed="false">
      <c r="A37" s="53" t="s">
        <v>14</v>
      </c>
      <c r="B37" s="53" t="s">
        <v>3626</v>
      </c>
      <c r="C37" s="53" t="s">
        <v>3627</v>
      </c>
      <c r="D37" s="53" t="s">
        <v>3630</v>
      </c>
      <c r="E37" s="53" t="s">
        <v>3631</v>
      </c>
      <c r="F37" s="53" t="s">
        <v>3559</v>
      </c>
      <c r="G37" s="53" t="s">
        <v>1536</v>
      </c>
    </row>
    <row r="38" customFormat="false" ht="11.25" hidden="false" customHeight="true" outlineLevel="0" collapsed="false">
      <c r="A38" s="53" t="s">
        <v>14</v>
      </c>
      <c r="B38" s="53" t="s">
        <v>3626</v>
      </c>
      <c r="C38" s="53" t="s">
        <v>3627</v>
      </c>
      <c r="D38" s="53" t="s">
        <v>3626</v>
      </c>
      <c r="E38" s="53" t="s">
        <v>3627</v>
      </c>
      <c r="F38" s="53" t="s">
        <v>3560</v>
      </c>
      <c r="G38" s="53" t="s">
        <v>1544</v>
      </c>
    </row>
    <row r="39" customFormat="false" ht="11.25" hidden="false" customHeight="true" outlineLevel="0" collapsed="false">
      <c r="A39" s="53" t="s">
        <v>14</v>
      </c>
      <c r="B39" s="53" t="s">
        <v>3626</v>
      </c>
      <c r="C39" s="53" t="s">
        <v>3627</v>
      </c>
      <c r="D39" s="53" t="s">
        <v>3632</v>
      </c>
      <c r="E39" s="53" t="s">
        <v>3633</v>
      </c>
      <c r="F39" s="53" t="s">
        <v>3559</v>
      </c>
      <c r="G39" s="53" t="s">
        <v>1550</v>
      </c>
    </row>
    <row r="40" customFormat="false" ht="11.25" hidden="false" customHeight="true" outlineLevel="0" collapsed="false">
      <c r="A40" s="53" t="s">
        <v>14</v>
      </c>
      <c r="B40" s="53" t="s">
        <v>3626</v>
      </c>
      <c r="C40" s="53" t="s">
        <v>3627</v>
      </c>
      <c r="D40" s="53" t="s">
        <v>3634</v>
      </c>
      <c r="E40" s="53" t="s">
        <v>3635</v>
      </c>
      <c r="F40" s="53" t="s">
        <v>3559</v>
      </c>
      <c r="G40" s="53" t="s">
        <v>1555</v>
      </c>
    </row>
    <row r="41" customFormat="false" ht="11.25" hidden="false" customHeight="true" outlineLevel="0" collapsed="false">
      <c r="A41" s="53" t="s">
        <v>14</v>
      </c>
      <c r="B41" s="53" t="s">
        <v>3636</v>
      </c>
      <c r="C41" s="53" t="s">
        <v>3637</v>
      </c>
      <c r="D41" s="53" t="s">
        <v>3638</v>
      </c>
      <c r="E41" s="53" t="s">
        <v>3639</v>
      </c>
      <c r="F41" s="53" t="s">
        <v>3559</v>
      </c>
      <c r="G41" s="53" t="s">
        <v>1559</v>
      </c>
    </row>
    <row r="42" customFormat="false" ht="11.25" hidden="false" customHeight="true" outlineLevel="0" collapsed="false">
      <c r="A42" s="53" t="s">
        <v>14</v>
      </c>
      <c r="B42" s="53" t="s">
        <v>3636</v>
      </c>
      <c r="C42" s="53" t="s">
        <v>3637</v>
      </c>
      <c r="D42" s="53" t="s">
        <v>3640</v>
      </c>
      <c r="E42" s="53" t="s">
        <v>3641</v>
      </c>
      <c r="F42" s="53" t="s">
        <v>3559</v>
      </c>
      <c r="G42" s="53" t="s">
        <v>1562</v>
      </c>
    </row>
    <row r="43" customFormat="false" ht="11.25" hidden="false" customHeight="true" outlineLevel="0" collapsed="false">
      <c r="A43" s="53" t="s">
        <v>14</v>
      </c>
      <c r="B43" s="53" t="s">
        <v>3636</v>
      </c>
      <c r="C43" s="53" t="s">
        <v>3637</v>
      </c>
      <c r="D43" s="53" t="s">
        <v>3636</v>
      </c>
      <c r="E43" s="53" t="s">
        <v>3637</v>
      </c>
      <c r="F43" s="53" t="s">
        <v>3560</v>
      </c>
      <c r="G43" s="53" t="s">
        <v>1569</v>
      </c>
    </row>
    <row r="44" customFormat="false" ht="11.25" hidden="false" customHeight="true" outlineLevel="0" collapsed="false">
      <c r="A44" s="53" t="s">
        <v>14</v>
      </c>
      <c r="B44" s="53" t="s">
        <v>3636</v>
      </c>
      <c r="C44" s="53" t="s">
        <v>3637</v>
      </c>
      <c r="D44" s="53" t="s">
        <v>3642</v>
      </c>
      <c r="E44" s="53" t="s">
        <v>3643</v>
      </c>
      <c r="F44" s="53" t="s">
        <v>3559</v>
      </c>
      <c r="G44" s="53" t="s">
        <v>1578</v>
      </c>
    </row>
    <row r="45" customFormat="false" ht="11.25" hidden="false" customHeight="true" outlineLevel="0" collapsed="false">
      <c r="A45" s="53" t="s">
        <v>14</v>
      </c>
      <c r="B45" s="53" t="s">
        <v>3644</v>
      </c>
      <c r="C45" s="53" t="s">
        <v>3645</v>
      </c>
      <c r="D45" s="53" t="s">
        <v>3646</v>
      </c>
      <c r="E45" s="53" t="s">
        <v>3647</v>
      </c>
      <c r="F45" s="53" t="s">
        <v>3648</v>
      </c>
      <c r="G45" s="53" t="s">
        <v>1583</v>
      </c>
    </row>
    <row r="46" customFormat="false" ht="11.25" hidden="false" customHeight="true" outlineLevel="0" collapsed="false">
      <c r="A46" s="53" t="s">
        <v>14</v>
      </c>
      <c r="B46" s="53" t="s">
        <v>3644</v>
      </c>
      <c r="C46" s="53" t="s">
        <v>3645</v>
      </c>
      <c r="D46" s="53" t="s">
        <v>3649</v>
      </c>
      <c r="E46" s="53" t="s">
        <v>3650</v>
      </c>
      <c r="F46" s="53" t="s">
        <v>3559</v>
      </c>
      <c r="G46" s="53" t="s">
        <v>1587</v>
      </c>
    </row>
    <row r="47" customFormat="false" ht="11.25" hidden="false" customHeight="true" outlineLevel="0" collapsed="false">
      <c r="A47" s="53" t="s">
        <v>14</v>
      </c>
      <c r="B47" s="53" t="s">
        <v>3644</v>
      </c>
      <c r="C47" s="53" t="s">
        <v>3645</v>
      </c>
      <c r="D47" s="53" t="s">
        <v>3644</v>
      </c>
      <c r="E47" s="53" t="s">
        <v>3645</v>
      </c>
      <c r="F47" s="53" t="s">
        <v>3560</v>
      </c>
      <c r="G47" s="53" t="s">
        <v>1593</v>
      </c>
    </row>
    <row r="48" customFormat="false" ht="11.25" hidden="false" customHeight="true" outlineLevel="0" collapsed="false">
      <c r="A48" s="53" t="s">
        <v>14</v>
      </c>
      <c r="B48" s="53" t="s">
        <v>3644</v>
      </c>
      <c r="C48" s="53" t="s">
        <v>3645</v>
      </c>
      <c r="D48" s="53" t="s">
        <v>3651</v>
      </c>
      <c r="E48" s="53" t="s">
        <v>3652</v>
      </c>
      <c r="F48" s="53" t="s">
        <v>3559</v>
      </c>
      <c r="G48" s="53" t="s">
        <v>1598</v>
      </c>
    </row>
    <row r="49" customFormat="false" ht="11.25" hidden="false" customHeight="true" outlineLevel="0" collapsed="false">
      <c r="A49" s="53" t="s">
        <v>14</v>
      </c>
      <c r="B49" s="53" t="s">
        <v>3653</v>
      </c>
      <c r="C49" s="53" t="s">
        <v>3654</v>
      </c>
      <c r="D49" s="53" t="s">
        <v>3655</v>
      </c>
      <c r="E49" s="53" t="s">
        <v>3656</v>
      </c>
      <c r="F49" s="53" t="s">
        <v>3559</v>
      </c>
      <c r="G49" s="53" t="s">
        <v>1601</v>
      </c>
    </row>
    <row r="50" customFormat="false" ht="11.25" hidden="false" customHeight="true" outlineLevel="0" collapsed="false">
      <c r="A50" s="53" t="s">
        <v>14</v>
      </c>
      <c r="B50" s="53" t="s">
        <v>3653</v>
      </c>
      <c r="C50" s="53" t="s">
        <v>3654</v>
      </c>
      <c r="D50" s="53" t="s">
        <v>3653</v>
      </c>
      <c r="E50" s="53" t="s">
        <v>3654</v>
      </c>
      <c r="F50" s="53" t="s">
        <v>3560</v>
      </c>
      <c r="G50" s="53" t="s">
        <v>1605</v>
      </c>
    </row>
    <row r="51" customFormat="false" ht="11.25" hidden="false" customHeight="true" outlineLevel="0" collapsed="false">
      <c r="A51" s="53" t="s">
        <v>14</v>
      </c>
      <c r="B51" s="53" t="s">
        <v>3653</v>
      </c>
      <c r="C51" s="53" t="s">
        <v>3654</v>
      </c>
      <c r="D51" s="53" t="s">
        <v>3657</v>
      </c>
      <c r="E51" s="53" t="s">
        <v>3658</v>
      </c>
      <c r="F51" s="53" t="s">
        <v>3559</v>
      </c>
      <c r="G51" s="53" t="s">
        <v>1609</v>
      </c>
    </row>
    <row r="52" customFormat="false" ht="11.25" hidden="false" customHeight="true" outlineLevel="0" collapsed="false">
      <c r="A52" s="53" t="s">
        <v>14</v>
      </c>
      <c r="B52" s="53" t="s">
        <v>3653</v>
      </c>
      <c r="C52" s="53" t="s">
        <v>3654</v>
      </c>
      <c r="D52" s="53" t="s">
        <v>3659</v>
      </c>
      <c r="E52" s="53" t="s">
        <v>3660</v>
      </c>
      <c r="F52" s="53" t="s">
        <v>3559</v>
      </c>
      <c r="G52" s="53" t="s">
        <v>1613</v>
      </c>
    </row>
    <row r="53" customFormat="false" ht="11.25" hidden="false" customHeight="true" outlineLevel="0" collapsed="false">
      <c r="A53" s="53" t="s">
        <v>14</v>
      </c>
      <c r="B53" s="53" t="s">
        <v>3661</v>
      </c>
      <c r="C53" s="53" t="s">
        <v>3662</v>
      </c>
      <c r="D53" s="53" t="s">
        <v>3663</v>
      </c>
      <c r="E53" s="53" t="s">
        <v>3664</v>
      </c>
      <c r="F53" s="53" t="s">
        <v>3559</v>
      </c>
      <c r="G53" s="53" t="s">
        <v>1615</v>
      </c>
    </row>
    <row r="54" customFormat="false" ht="11.25" hidden="false" customHeight="true" outlineLevel="0" collapsed="false">
      <c r="A54" s="53" t="s">
        <v>14</v>
      </c>
      <c r="B54" s="53" t="s">
        <v>3661</v>
      </c>
      <c r="C54" s="53" t="s">
        <v>3662</v>
      </c>
      <c r="D54" s="53" t="s">
        <v>3665</v>
      </c>
      <c r="E54" s="53" t="s">
        <v>3666</v>
      </c>
      <c r="F54" s="53" t="s">
        <v>3591</v>
      </c>
      <c r="G54" s="53" t="s">
        <v>1618</v>
      </c>
    </row>
    <row r="55" customFormat="false" ht="11.25" hidden="false" customHeight="true" outlineLevel="0" collapsed="false">
      <c r="A55" s="53" t="s">
        <v>14</v>
      </c>
      <c r="B55" s="53" t="s">
        <v>3661</v>
      </c>
      <c r="C55" s="53" t="s">
        <v>3662</v>
      </c>
      <c r="D55" s="53" t="s">
        <v>3614</v>
      </c>
      <c r="E55" s="53" t="s">
        <v>3667</v>
      </c>
      <c r="F55" s="53" t="s">
        <v>3559</v>
      </c>
      <c r="G55" s="53" t="s">
        <v>1622</v>
      </c>
    </row>
    <row r="56" customFormat="false" ht="11.25" hidden="false" customHeight="true" outlineLevel="0" collapsed="false">
      <c r="A56" s="53" t="s">
        <v>14</v>
      </c>
      <c r="B56" s="53" t="s">
        <v>3661</v>
      </c>
      <c r="C56" s="53" t="s">
        <v>3662</v>
      </c>
      <c r="D56" s="53" t="s">
        <v>3668</v>
      </c>
      <c r="E56" s="53" t="s">
        <v>3669</v>
      </c>
      <c r="F56" s="53" t="s">
        <v>3559</v>
      </c>
      <c r="G56" s="53" t="s">
        <v>1625</v>
      </c>
    </row>
    <row r="57" customFormat="false" ht="11.25" hidden="false" customHeight="true" outlineLevel="0" collapsed="false">
      <c r="A57" s="53" t="s">
        <v>14</v>
      </c>
      <c r="B57" s="53" t="s">
        <v>3661</v>
      </c>
      <c r="C57" s="53" t="s">
        <v>3662</v>
      </c>
      <c r="D57" s="53" t="s">
        <v>3661</v>
      </c>
      <c r="E57" s="53" t="s">
        <v>3662</v>
      </c>
      <c r="F57" s="53" t="s">
        <v>3560</v>
      </c>
      <c r="G57" s="53" t="s">
        <v>1628</v>
      </c>
    </row>
    <row r="58" customFormat="false" ht="11.25" hidden="false" customHeight="true" outlineLevel="0" collapsed="false">
      <c r="A58" s="53" t="s">
        <v>14</v>
      </c>
      <c r="B58" s="53" t="s">
        <v>3661</v>
      </c>
      <c r="C58" s="53" t="s">
        <v>3662</v>
      </c>
      <c r="D58" s="53" t="s">
        <v>3657</v>
      </c>
      <c r="E58" s="53" t="s">
        <v>3670</v>
      </c>
      <c r="F58" s="53" t="s">
        <v>3559</v>
      </c>
      <c r="G58" s="53" t="s">
        <v>1631</v>
      </c>
    </row>
    <row r="59" customFormat="false" ht="11.25" hidden="false" customHeight="true" outlineLevel="0" collapsed="false">
      <c r="A59" s="53" t="s">
        <v>14</v>
      </c>
      <c r="B59" s="53" t="s">
        <v>103</v>
      </c>
      <c r="C59" s="53" t="s">
        <v>3671</v>
      </c>
      <c r="D59" s="53" t="s">
        <v>3672</v>
      </c>
      <c r="E59" s="53" t="s">
        <v>3673</v>
      </c>
      <c r="F59" s="53" t="s">
        <v>3591</v>
      </c>
      <c r="G59" s="53" t="s">
        <v>1635</v>
      </c>
    </row>
    <row r="60" customFormat="false" ht="11.25" hidden="false" customHeight="true" outlineLevel="0" collapsed="false">
      <c r="A60" s="53" t="s">
        <v>14</v>
      </c>
      <c r="B60" s="53" t="s">
        <v>103</v>
      </c>
      <c r="C60" s="53" t="s">
        <v>3671</v>
      </c>
      <c r="D60" s="53" t="s">
        <v>3674</v>
      </c>
      <c r="E60" s="53" t="s">
        <v>3675</v>
      </c>
      <c r="F60" s="53" t="s">
        <v>3559</v>
      </c>
      <c r="G60" s="53" t="s">
        <v>1638</v>
      </c>
    </row>
    <row r="61" customFormat="false" ht="11.25" hidden="false" customHeight="true" outlineLevel="0" collapsed="false">
      <c r="A61" s="53" t="s">
        <v>14</v>
      </c>
      <c r="B61" s="53" t="s">
        <v>103</v>
      </c>
      <c r="C61" s="53" t="s">
        <v>3671</v>
      </c>
      <c r="D61" s="53" t="s">
        <v>3676</v>
      </c>
      <c r="E61" s="53" t="s">
        <v>3677</v>
      </c>
      <c r="F61" s="53" t="s">
        <v>3559</v>
      </c>
      <c r="G61" s="53" t="s">
        <v>3678</v>
      </c>
    </row>
    <row r="62" customFormat="false" ht="11.25" hidden="false" customHeight="true" outlineLevel="0" collapsed="false">
      <c r="A62" s="53" t="s">
        <v>14</v>
      </c>
      <c r="B62" s="53" t="s">
        <v>103</v>
      </c>
      <c r="C62" s="53" t="s">
        <v>3671</v>
      </c>
      <c r="D62" s="53" t="s">
        <v>3679</v>
      </c>
      <c r="E62" s="53" t="s">
        <v>3680</v>
      </c>
      <c r="F62" s="53" t="s">
        <v>3559</v>
      </c>
      <c r="G62" s="53" t="s">
        <v>3681</v>
      </c>
    </row>
    <row r="63" customFormat="false" ht="11.25" hidden="false" customHeight="true" outlineLevel="0" collapsed="false">
      <c r="A63" s="53" t="s">
        <v>14</v>
      </c>
      <c r="B63" s="53" t="s">
        <v>103</v>
      </c>
      <c r="C63" s="53" t="s">
        <v>3671</v>
      </c>
      <c r="D63" s="53" t="s">
        <v>103</v>
      </c>
      <c r="E63" s="53" t="s">
        <v>3671</v>
      </c>
      <c r="F63" s="53" t="s">
        <v>3560</v>
      </c>
      <c r="G63" s="53" t="s">
        <v>3682</v>
      </c>
    </row>
    <row r="64" customFormat="false" ht="11.25" hidden="false" customHeight="true" outlineLevel="0" collapsed="false">
      <c r="A64" s="53" t="s">
        <v>14</v>
      </c>
      <c r="B64" s="53" t="s">
        <v>103</v>
      </c>
      <c r="C64" s="53" t="s">
        <v>3671</v>
      </c>
      <c r="D64" s="53" t="s">
        <v>104</v>
      </c>
      <c r="E64" s="53" t="s">
        <v>105</v>
      </c>
      <c r="F64" s="53" t="s">
        <v>3559</v>
      </c>
      <c r="G64" s="53" t="s">
        <v>102</v>
      </c>
    </row>
    <row r="65" customFormat="false" ht="11.25" hidden="false" customHeight="true" outlineLevel="0" collapsed="false">
      <c r="A65" s="53" t="s">
        <v>14</v>
      </c>
      <c r="B65" s="53" t="s">
        <v>3683</v>
      </c>
      <c r="C65" s="53" t="s">
        <v>3684</v>
      </c>
      <c r="D65" s="53" t="s">
        <v>3685</v>
      </c>
      <c r="E65" s="53" t="s">
        <v>3686</v>
      </c>
      <c r="F65" s="53" t="s">
        <v>3559</v>
      </c>
      <c r="G65" s="53" t="s">
        <v>3687</v>
      </c>
    </row>
    <row r="66" customFormat="false" ht="11.25" hidden="false" customHeight="true" outlineLevel="0" collapsed="false">
      <c r="A66" s="53" t="s">
        <v>14</v>
      </c>
      <c r="B66" s="53" t="s">
        <v>3683</v>
      </c>
      <c r="C66" s="53" t="s">
        <v>3684</v>
      </c>
      <c r="D66" s="53" t="s">
        <v>3630</v>
      </c>
      <c r="E66" s="53" t="s">
        <v>3688</v>
      </c>
      <c r="F66" s="53" t="s">
        <v>3559</v>
      </c>
      <c r="G66" s="53" t="s">
        <v>3689</v>
      </c>
    </row>
    <row r="67" customFormat="false" ht="11.25" hidden="false" customHeight="true" outlineLevel="0" collapsed="false">
      <c r="A67" s="53" t="s">
        <v>14</v>
      </c>
      <c r="B67" s="53" t="s">
        <v>3683</v>
      </c>
      <c r="C67" s="53" t="s">
        <v>3684</v>
      </c>
      <c r="D67" s="53" t="s">
        <v>3690</v>
      </c>
      <c r="E67" s="53" t="s">
        <v>3691</v>
      </c>
      <c r="F67" s="53" t="s">
        <v>3559</v>
      </c>
      <c r="G67" s="53" t="s">
        <v>1956</v>
      </c>
    </row>
    <row r="68" customFormat="false" ht="11.25" hidden="false" customHeight="true" outlineLevel="0" collapsed="false">
      <c r="A68" s="53" t="s">
        <v>14</v>
      </c>
      <c r="B68" s="53" t="s">
        <v>3683</v>
      </c>
      <c r="C68" s="53" t="s">
        <v>3684</v>
      </c>
      <c r="D68" s="53" t="s">
        <v>3692</v>
      </c>
      <c r="E68" s="53" t="s">
        <v>3693</v>
      </c>
      <c r="F68" s="53" t="s">
        <v>3559</v>
      </c>
      <c r="G68" s="53" t="s">
        <v>3694</v>
      </c>
    </row>
    <row r="69" customFormat="false" ht="11.25" hidden="false" customHeight="true" outlineLevel="0" collapsed="false">
      <c r="A69" s="53" t="s">
        <v>14</v>
      </c>
      <c r="B69" s="53" t="s">
        <v>3683</v>
      </c>
      <c r="C69" s="53" t="s">
        <v>3684</v>
      </c>
      <c r="D69" s="53" t="s">
        <v>3695</v>
      </c>
      <c r="E69" s="53" t="s">
        <v>3696</v>
      </c>
      <c r="F69" s="53" t="s">
        <v>3559</v>
      </c>
      <c r="G69" s="53" t="s">
        <v>2167</v>
      </c>
    </row>
    <row r="70" customFormat="false" ht="11.25" hidden="false" customHeight="true" outlineLevel="0" collapsed="false">
      <c r="A70" s="53" t="s">
        <v>14</v>
      </c>
      <c r="B70" s="53" t="s">
        <v>3683</v>
      </c>
      <c r="C70" s="53" t="s">
        <v>3684</v>
      </c>
      <c r="D70" s="53" t="s">
        <v>3697</v>
      </c>
      <c r="E70" s="53" t="s">
        <v>3698</v>
      </c>
      <c r="F70" s="53" t="s">
        <v>3559</v>
      </c>
      <c r="G70" s="53" t="s">
        <v>3699</v>
      </c>
    </row>
    <row r="71" customFormat="false" ht="11.25" hidden="false" customHeight="true" outlineLevel="0" collapsed="false">
      <c r="A71" s="53" t="s">
        <v>14</v>
      </c>
      <c r="B71" s="53" t="s">
        <v>3683</v>
      </c>
      <c r="C71" s="53" t="s">
        <v>3684</v>
      </c>
      <c r="D71" s="53" t="s">
        <v>3700</v>
      </c>
      <c r="E71" s="53" t="s">
        <v>3701</v>
      </c>
      <c r="F71" s="53" t="s">
        <v>3559</v>
      </c>
      <c r="G71" s="53" t="s">
        <v>3702</v>
      </c>
    </row>
    <row r="72" customFormat="false" ht="11.25" hidden="false" customHeight="true" outlineLevel="0" collapsed="false">
      <c r="A72" s="53" t="s">
        <v>14</v>
      </c>
      <c r="B72" s="53" t="s">
        <v>3683</v>
      </c>
      <c r="C72" s="53" t="s">
        <v>3684</v>
      </c>
      <c r="D72" s="53" t="s">
        <v>3634</v>
      </c>
      <c r="E72" s="53" t="s">
        <v>3703</v>
      </c>
      <c r="F72" s="53" t="s">
        <v>3559</v>
      </c>
      <c r="G72" s="53" t="s">
        <v>3704</v>
      </c>
    </row>
    <row r="73" customFormat="false" ht="11.25" hidden="false" customHeight="true" outlineLevel="0" collapsed="false">
      <c r="A73" s="53" t="s">
        <v>14</v>
      </c>
      <c r="B73" s="53" t="s">
        <v>3683</v>
      </c>
      <c r="C73" s="53" t="s">
        <v>3684</v>
      </c>
      <c r="D73" s="53" t="s">
        <v>3705</v>
      </c>
      <c r="E73" s="53" t="s">
        <v>3706</v>
      </c>
      <c r="F73" s="53" t="s">
        <v>3559</v>
      </c>
      <c r="G73" s="53" t="s">
        <v>3707</v>
      </c>
    </row>
    <row r="74" customFormat="false" ht="11.25" hidden="false" customHeight="true" outlineLevel="0" collapsed="false">
      <c r="A74" s="53" t="s">
        <v>14</v>
      </c>
      <c r="B74" s="53" t="s">
        <v>3683</v>
      </c>
      <c r="C74" s="53" t="s">
        <v>3684</v>
      </c>
      <c r="D74" s="53" t="s">
        <v>3683</v>
      </c>
      <c r="E74" s="53" t="s">
        <v>3684</v>
      </c>
      <c r="F74" s="53" t="s">
        <v>3560</v>
      </c>
      <c r="G74" s="53" t="s">
        <v>3708</v>
      </c>
    </row>
    <row r="75" customFormat="false" ht="11.25" hidden="false" customHeight="true" outlineLevel="0" collapsed="false">
      <c r="A75" s="53" t="s">
        <v>14</v>
      </c>
      <c r="B75" s="53" t="s">
        <v>3683</v>
      </c>
      <c r="C75" s="53" t="s">
        <v>3684</v>
      </c>
      <c r="D75" s="53" t="s">
        <v>3709</v>
      </c>
      <c r="E75" s="53" t="s">
        <v>3710</v>
      </c>
      <c r="F75" s="53" t="s">
        <v>3559</v>
      </c>
      <c r="G75" s="53" t="s">
        <v>3711</v>
      </c>
    </row>
    <row r="76" customFormat="false" ht="11.25" hidden="false" customHeight="true" outlineLevel="0" collapsed="false">
      <c r="A76" s="53" t="s">
        <v>14</v>
      </c>
      <c r="B76" s="53" t="s">
        <v>3683</v>
      </c>
      <c r="C76" s="53" t="s">
        <v>3684</v>
      </c>
      <c r="D76" s="53" t="s">
        <v>3712</v>
      </c>
      <c r="E76" s="53" t="s">
        <v>3713</v>
      </c>
      <c r="F76" s="53" t="s">
        <v>3559</v>
      </c>
      <c r="G76" s="53" t="s">
        <v>3714</v>
      </c>
    </row>
    <row r="77" customFormat="false" ht="11.25" hidden="false" customHeight="true" outlineLevel="0" collapsed="false">
      <c r="A77" s="53" t="s">
        <v>14</v>
      </c>
      <c r="B77" s="53" t="s">
        <v>3715</v>
      </c>
      <c r="C77" s="53" t="s">
        <v>3716</v>
      </c>
      <c r="D77" s="53" t="s">
        <v>3717</v>
      </c>
      <c r="E77" s="53" t="s">
        <v>3718</v>
      </c>
      <c r="F77" s="53" t="s">
        <v>3559</v>
      </c>
      <c r="G77" s="53" t="s">
        <v>3719</v>
      </c>
    </row>
    <row r="78" customFormat="false" ht="11.25" hidden="false" customHeight="true" outlineLevel="0" collapsed="false">
      <c r="A78" s="53" t="s">
        <v>14</v>
      </c>
      <c r="B78" s="53" t="s">
        <v>3715</v>
      </c>
      <c r="C78" s="53" t="s">
        <v>3716</v>
      </c>
      <c r="D78" s="53" t="s">
        <v>3720</v>
      </c>
      <c r="E78" s="53" t="s">
        <v>3721</v>
      </c>
      <c r="F78" s="53" t="s">
        <v>3591</v>
      </c>
      <c r="G78" s="53" t="s">
        <v>3722</v>
      </c>
    </row>
    <row r="79" customFormat="false" ht="11.25" hidden="false" customHeight="true" outlineLevel="0" collapsed="false">
      <c r="A79" s="53" t="s">
        <v>14</v>
      </c>
      <c r="B79" s="53" t="s">
        <v>3715</v>
      </c>
      <c r="C79" s="53" t="s">
        <v>3716</v>
      </c>
      <c r="D79" s="53" t="s">
        <v>3723</v>
      </c>
      <c r="E79" s="53" t="s">
        <v>3724</v>
      </c>
      <c r="F79" s="53" t="s">
        <v>3559</v>
      </c>
      <c r="G79" s="53" t="s">
        <v>3725</v>
      </c>
    </row>
    <row r="80" customFormat="false" ht="11.25" hidden="false" customHeight="true" outlineLevel="0" collapsed="false">
      <c r="A80" s="53" t="s">
        <v>14</v>
      </c>
      <c r="B80" s="53" t="s">
        <v>3715</v>
      </c>
      <c r="C80" s="53" t="s">
        <v>3716</v>
      </c>
      <c r="D80" s="53" t="s">
        <v>3726</v>
      </c>
      <c r="E80" s="53" t="s">
        <v>3727</v>
      </c>
      <c r="F80" s="53" t="s">
        <v>3559</v>
      </c>
      <c r="G80" s="53" t="s">
        <v>3728</v>
      </c>
    </row>
    <row r="81" customFormat="false" ht="11.25" hidden="false" customHeight="true" outlineLevel="0" collapsed="false">
      <c r="A81" s="53" t="s">
        <v>14</v>
      </c>
      <c r="B81" s="53" t="s">
        <v>3715</v>
      </c>
      <c r="C81" s="53" t="s">
        <v>3716</v>
      </c>
      <c r="D81" s="53" t="s">
        <v>3715</v>
      </c>
      <c r="E81" s="53" t="s">
        <v>3716</v>
      </c>
      <c r="F81" s="53" t="s">
        <v>3560</v>
      </c>
      <c r="G81" s="53" t="s">
        <v>3729</v>
      </c>
    </row>
    <row r="82" customFormat="false" ht="11.25" hidden="false" customHeight="true" outlineLevel="0" collapsed="false">
      <c r="A82" s="53" t="s">
        <v>14</v>
      </c>
      <c r="B82" s="53" t="s">
        <v>3715</v>
      </c>
      <c r="C82" s="53" t="s">
        <v>3716</v>
      </c>
      <c r="D82" s="53" t="s">
        <v>3730</v>
      </c>
      <c r="E82" s="53" t="s">
        <v>3731</v>
      </c>
      <c r="F82" s="53" t="s">
        <v>3559</v>
      </c>
      <c r="G82" s="53" t="s">
        <v>3732</v>
      </c>
    </row>
    <row r="83" customFormat="false" ht="11.25" hidden="false" customHeight="true" outlineLevel="0" collapsed="false">
      <c r="A83" s="53" t="s">
        <v>14</v>
      </c>
      <c r="B83" s="53" t="s">
        <v>108</v>
      </c>
      <c r="C83" s="53" t="s">
        <v>3733</v>
      </c>
      <c r="D83" s="53" t="s">
        <v>3734</v>
      </c>
      <c r="E83" s="53" t="s">
        <v>3735</v>
      </c>
      <c r="F83" s="53" t="s">
        <v>3559</v>
      </c>
      <c r="G83" s="53" t="s">
        <v>3736</v>
      </c>
    </row>
    <row r="84" customFormat="false" ht="11.25" hidden="false" customHeight="true" outlineLevel="0" collapsed="false">
      <c r="A84" s="53" t="s">
        <v>14</v>
      </c>
      <c r="B84" s="53" t="s">
        <v>108</v>
      </c>
      <c r="C84" s="53" t="s">
        <v>3733</v>
      </c>
      <c r="D84" s="53" t="s">
        <v>109</v>
      </c>
      <c r="E84" s="53" t="s">
        <v>110</v>
      </c>
      <c r="F84" s="53" t="s">
        <v>3591</v>
      </c>
      <c r="G84" s="53" t="s">
        <v>107</v>
      </c>
    </row>
    <row r="85" customFormat="false" ht="11.25" hidden="false" customHeight="true" outlineLevel="0" collapsed="false">
      <c r="A85" s="53" t="s">
        <v>14</v>
      </c>
      <c r="B85" s="53" t="s">
        <v>108</v>
      </c>
      <c r="C85" s="53" t="s">
        <v>3733</v>
      </c>
      <c r="D85" s="53" t="s">
        <v>3737</v>
      </c>
      <c r="E85" s="53" t="s">
        <v>3738</v>
      </c>
      <c r="F85" s="53" t="s">
        <v>3559</v>
      </c>
      <c r="G85" s="53" t="s">
        <v>3739</v>
      </c>
    </row>
    <row r="86" customFormat="false" ht="11.25" hidden="false" customHeight="true" outlineLevel="0" collapsed="false">
      <c r="A86" s="53" t="s">
        <v>14</v>
      </c>
      <c r="B86" s="53" t="s">
        <v>108</v>
      </c>
      <c r="C86" s="53" t="s">
        <v>3733</v>
      </c>
      <c r="D86" s="53" t="s">
        <v>3740</v>
      </c>
      <c r="E86" s="53" t="s">
        <v>3741</v>
      </c>
      <c r="F86" s="53" t="s">
        <v>3559</v>
      </c>
      <c r="G86" s="53" t="s">
        <v>3742</v>
      </c>
    </row>
    <row r="87" customFormat="false" ht="11.25" hidden="false" customHeight="true" outlineLevel="0" collapsed="false">
      <c r="A87" s="53" t="s">
        <v>14</v>
      </c>
      <c r="B87" s="53" t="s">
        <v>108</v>
      </c>
      <c r="C87" s="53" t="s">
        <v>3733</v>
      </c>
      <c r="D87" s="53" t="s">
        <v>3743</v>
      </c>
      <c r="E87" s="53" t="s">
        <v>3744</v>
      </c>
      <c r="F87" s="53" t="s">
        <v>3559</v>
      </c>
      <c r="G87" s="53" t="s">
        <v>3745</v>
      </c>
    </row>
    <row r="88" customFormat="false" ht="11.25" hidden="false" customHeight="true" outlineLevel="0" collapsed="false">
      <c r="A88" s="53" t="s">
        <v>14</v>
      </c>
      <c r="B88" s="53" t="s">
        <v>108</v>
      </c>
      <c r="C88" s="53" t="s">
        <v>3733</v>
      </c>
      <c r="D88" s="53" t="s">
        <v>108</v>
      </c>
      <c r="E88" s="53" t="s">
        <v>3733</v>
      </c>
      <c r="F88" s="53" t="s">
        <v>3560</v>
      </c>
      <c r="G88" s="53" t="s">
        <v>3746</v>
      </c>
    </row>
    <row r="89" customFormat="false" ht="11.25" hidden="false" customHeight="true" outlineLevel="0" collapsed="false">
      <c r="A89" s="53" t="s">
        <v>14</v>
      </c>
      <c r="B89" s="53" t="s">
        <v>108</v>
      </c>
      <c r="C89" s="53" t="s">
        <v>3733</v>
      </c>
      <c r="D89" s="53" t="s">
        <v>3747</v>
      </c>
      <c r="E89" s="53" t="s">
        <v>3748</v>
      </c>
      <c r="F89" s="53" t="s">
        <v>3559</v>
      </c>
      <c r="G89" s="53" t="s">
        <v>3749</v>
      </c>
    </row>
    <row r="90" customFormat="false" ht="11.25" hidden="false" customHeight="true" outlineLevel="0" collapsed="false">
      <c r="A90" s="53" t="s">
        <v>14</v>
      </c>
      <c r="B90" s="53" t="s">
        <v>3750</v>
      </c>
      <c r="C90" s="53" t="s">
        <v>3751</v>
      </c>
      <c r="D90" s="53" t="s">
        <v>3752</v>
      </c>
      <c r="E90" s="53" t="s">
        <v>3753</v>
      </c>
      <c r="F90" s="53" t="s">
        <v>3648</v>
      </c>
      <c r="G90" s="53" t="s">
        <v>3754</v>
      </c>
    </row>
    <row r="91" customFormat="false" ht="11.25" hidden="false" customHeight="true" outlineLevel="0" collapsed="false">
      <c r="A91" s="53" t="s">
        <v>14</v>
      </c>
      <c r="B91" s="53" t="s">
        <v>3750</v>
      </c>
      <c r="C91" s="53" t="s">
        <v>3751</v>
      </c>
      <c r="D91" s="53" t="s">
        <v>3755</v>
      </c>
      <c r="E91" s="53" t="s">
        <v>3756</v>
      </c>
      <c r="F91" s="53" t="s">
        <v>3559</v>
      </c>
      <c r="G91" s="53" t="s">
        <v>3757</v>
      </c>
    </row>
    <row r="92" customFormat="false" ht="11.25" hidden="false" customHeight="true" outlineLevel="0" collapsed="false">
      <c r="A92" s="53" t="s">
        <v>14</v>
      </c>
      <c r="B92" s="53" t="s">
        <v>3750</v>
      </c>
      <c r="C92" s="53" t="s">
        <v>3751</v>
      </c>
      <c r="D92" s="53" t="s">
        <v>3758</v>
      </c>
      <c r="E92" s="53" t="s">
        <v>3759</v>
      </c>
      <c r="F92" s="53" t="s">
        <v>3559</v>
      </c>
      <c r="G92" s="53" t="s">
        <v>3760</v>
      </c>
    </row>
    <row r="93" customFormat="false" ht="11.25" hidden="false" customHeight="true" outlineLevel="0" collapsed="false">
      <c r="A93" s="53" t="s">
        <v>14</v>
      </c>
      <c r="B93" s="53" t="s">
        <v>3750</v>
      </c>
      <c r="C93" s="53" t="s">
        <v>3751</v>
      </c>
      <c r="D93" s="53" t="s">
        <v>3761</v>
      </c>
      <c r="E93" s="53" t="s">
        <v>3762</v>
      </c>
      <c r="F93" s="53" t="s">
        <v>3559</v>
      </c>
      <c r="G93" s="53" t="s">
        <v>3763</v>
      </c>
    </row>
    <row r="94" customFormat="false" ht="11.25" hidden="false" customHeight="true" outlineLevel="0" collapsed="false">
      <c r="A94" s="53" t="s">
        <v>14</v>
      </c>
      <c r="B94" s="53" t="s">
        <v>3750</v>
      </c>
      <c r="C94" s="53" t="s">
        <v>3751</v>
      </c>
      <c r="D94" s="53" t="s">
        <v>3764</v>
      </c>
      <c r="E94" s="53" t="s">
        <v>3765</v>
      </c>
      <c r="F94" s="53" t="s">
        <v>3559</v>
      </c>
      <c r="G94" s="53" t="s">
        <v>3766</v>
      </c>
    </row>
    <row r="95" customFormat="false" ht="11.25" hidden="false" customHeight="true" outlineLevel="0" collapsed="false">
      <c r="A95" s="53" t="s">
        <v>14</v>
      </c>
      <c r="B95" s="53" t="s">
        <v>3750</v>
      </c>
      <c r="C95" s="53" t="s">
        <v>3751</v>
      </c>
      <c r="D95" s="53" t="s">
        <v>3767</v>
      </c>
      <c r="E95" s="53" t="s">
        <v>3768</v>
      </c>
      <c r="F95" s="53" t="s">
        <v>3559</v>
      </c>
      <c r="G95" s="53" t="s">
        <v>3769</v>
      </c>
    </row>
    <row r="96" customFormat="false" ht="11.25" hidden="false" customHeight="true" outlineLevel="0" collapsed="false">
      <c r="A96" s="53" t="s">
        <v>14</v>
      </c>
      <c r="B96" s="53" t="s">
        <v>3750</v>
      </c>
      <c r="C96" s="53" t="s">
        <v>3751</v>
      </c>
      <c r="D96" s="53" t="s">
        <v>3642</v>
      </c>
      <c r="E96" s="53" t="s">
        <v>3770</v>
      </c>
      <c r="F96" s="53" t="s">
        <v>3559</v>
      </c>
      <c r="G96" s="53" t="s">
        <v>3771</v>
      </c>
    </row>
    <row r="97" customFormat="false" ht="11.25" hidden="false" customHeight="true" outlineLevel="0" collapsed="false">
      <c r="A97" s="53" t="s">
        <v>14</v>
      </c>
      <c r="B97" s="53" t="s">
        <v>3750</v>
      </c>
      <c r="C97" s="53" t="s">
        <v>3751</v>
      </c>
      <c r="D97" s="53" t="s">
        <v>3772</v>
      </c>
      <c r="E97" s="53" t="s">
        <v>3773</v>
      </c>
      <c r="F97" s="53" t="s">
        <v>3559</v>
      </c>
      <c r="G97" s="53" t="s">
        <v>3774</v>
      </c>
    </row>
    <row r="98" customFormat="false" ht="11.25" hidden="false" customHeight="true" outlineLevel="0" collapsed="false">
      <c r="A98" s="53" t="s">
        <v>14</v>
      </c>
      <c r="B98" s="53" t="s">
        <v>3750</v>
      </c>
      <c r="C98" s="53" t="s">
        <v>3751</v>
      </c>
      <c r="D98" s="53" t="s">
        <v>3750</v>
      </c>
      <c r="E98" s="53" t="s">
        <v>3751</v>
      </c>
      <c r="F98" s="53" t="s">
        <v>3560</v>
      </c>
      <c r="G98" s="53" t="s">
        <v>3775</v>
      </c>
    </row>
    <row r="99" customFormat="false" ht="11.25" hidden="false" customHeight="true" outlineLevel="0" collapsed="false">
      <c r="A99" s="53" t="s">
        <v>14</v>
      </c>
      <c r="B99" s="53" t="s">
        <v>3776</v>
      </c>
      <c r="C99" s="53" t="s">
        <v>3777</v>
      </c>
      <c r="D99" s="53" t="s">
        <v>3776</v>
      </c>
      <c r="E99" s="53" t="s">
        <v>3777</v>
      </c>
      <c r="F99" s="53" t="s">
        <v>3778</v>
      </c>
      <c r="G99" s="53" t="s">
        <v>3779</v>
      </c>
    </row>
    <row r="100" customFormat="false" ht="11.25" hidden="false" customHeight="true" outlineLevel="0" collapsed="false">
      <c r="A100" s="53" t="s">
        <v>14</v>
      </c>
      <c r="B100" s="53" t="s">
        <v>3780</v>
      </c>
      <c r="C100" s="53" t="s">
        <v>3781</v>
      </c>
      <c r="D100" s="53" t="s">
        <v>3780</v>
      </c>
      <c r="E100" s="53" t="s">
        <v>3781</v>
      </c>
      <c r="F100" s="53" t="s">
        <v>3778</v>
      </c>
      <c r="G100" s="53" t="s">
        <v>3782</v>
      </c>
    </row>
    <row r="101" customFormat="false" ht="11.25" hidden="false" customHeight="true" outlineLevel="0" collapsed="false">
      <c r="A101" s="53" t="s">
        <v>14</v>
      </c>
      <c r="B101" s="53" t="s">
        <v>96</v>
      </c>
      <c r="C101" s="53" t="s">
        <v>97</v>
      </c>
      <c r="D101" s="53" t="s">
        <v>96</v>
      </c>
      <c r="E101" s="53" t="s">
        <v>97</v>
      </c>
      <c r="F101" s="53" t="s">
        <v>3778</v>
      </c>
      <c r="G101" s="53" t="s">
        <v>95</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true" hidden="false" outlineLevel="0" max="1" min="1" style="666" width="13.85"/>
    <col collapsed="false" customWidth="true" hidden="false" outlineLevel="0" max="2" min="2" style="666" width="10.42"/>
    <col collapsed="false" customWidth="true" hidden="false" outlineLevel="0" max="3" min="3" style="666" width="7.57"/>
    <col collapsed="false" customWidth="true" hidden="false" outlineLevel="0" max="4" min="4" style="666" width="13.85"/>
    <col collapsed="false" customWidth="true" hidden="false" outlineLevel="0" max="5" min="5" style="666" width="11.57"/>
    <col collapsed="false" customWidth="true" hidden="false" outlineLevel="0" max="6" min="6" style="666" width="16.28"/>
    <col collapsed="false" customWidth="true" hidden="false" outlineLevel="0" max="7" min="7" style="666" width="16"/>
    <col collapsed="false" customWidth="true" hidden="false" outlineLevel="0" max="9" min="8" style="666" width="16.14"/>
  </cols>
  <sheetData>
    <row r="1" customFormat="false" ht="11.25" hidden="false" customHeight="true" outlineLevel="0" collapsed="false">
      <c r="A1" s="666" t="s">
        <v>3783</v>
      </c>
      <c r="B1" s="666" t="s">
        <v>3784</v>
      </c>
      <c r="C1" s="666" t="s">
        <v>3785</v>
      </c>
      <c r="D1" s="666" t="s">
        <v>3786</v>
      </c>
      <c r="E1" s="666" t="s">
        <v>3787</v>
      </c>
      <c r="F1" s="666" t="s">
        <v>3788</v>
      </c>
      <c r="G1" s="666" t="s">
        <v>3789</v>
      </c>
      <c r="H1" s="666" t="s">
        <v>3790</v>
      </c>
      <c r="I1" s="666" t="s">
        <v>3791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false" outlineLevel="0" max="2" min="1" style="1196" width="9.14"/>
  </cols>
  <sheetData>
    <row r="1" customFormat="false" ht="11.25" hidden="false" customHeight="true" outlineLevel="0" collapsed="false">
      <c r="A1" s="1196" t="s">
        <v>137</v>
      </c>
      <c r="B1" s="1196" t="s">
        <v>3792</v>
      </c>
    </row>
    <row r="2" customFormat="false" ht="11.25" hidden="false" customHeight="true" outlineLevel="0" collapsed="false">
      <c r="A2" s="1196" t="s">
        <v>94</v>
      </c>
      <c r="B2" s="1196" t="s">
        <v>3793</v>
      </c>
    </row>
    <row r="3" customFormat="false" ht="11.25" hidden="false" customHeight="true" outlineLevel="0" collapsed="false">
      <c r="A3" s="1196" t="s">
        <v>101</v>
      </c>
      <c r="B3" s="1196" t="s">
        <v>3794</v>
      </c>
    </row>
    <row r="4" customFormat="false" ht="11.25" hidden="false" customHeight="true" outlineLevel="0" collapsed="false">
      <c r="A4" s="1196" t="s">
        <v>106</v>
      </c>
      <c r="B4" s="1196" t="s">
        <v>3795</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false" outlineLevel="0" max="1" min="1" style="666" width="9.14"/>
    <col collapsed="false" customWidth="true" hidden="false" outlineLevel="0" max="2" min="2" style="666" width="65.28"/>
  </cols>
  <sheetData>
    <row r="1" customFormat="false" ht="11.25" hidden="false" customHeight="true" outlineLevel="0" collapsed="false">
      <c r="A1" s="666" t="s">
        <v>3796</v>
      </c>
      <c r="B1" s="666" t="s">
        <v>3797</v>
      </c>
    </row>
    <row r="2" customFormat="false" ht="11.25" hidden="false" customHeight="true" outlineLevel="0" collapsed="false">
      <c r="A2" s="666" t="n">
        <v>4213775</v>
      </c>
      <c r="B2" s="666" t="s">
        <v>1156</v>
      </c>
    </row>
    <row r="3" customFormat="false" ht="11.25" hidden="false" customHeight="true" outlineLevel="0" collapsed="false">
      <c r="A3" s="666" t="n">
        <v>4213784</v>
      </c>
      <c r="B3" s="666" t="s">
        <v>1191</v>
      </c>
    </row>
    <row r="4" customFormat="false" ht="11.25" hidden="false" customHeight="true" outlineLevel="0" collapsed="false">
      <c r="A4" s="666" t="n">
        <v>4213781</v>
      </c>
      <c r="B4" s="666" t="s">
        <v>1184</v>
      </c>
    </row>
    <row r="5" customFormat="false" ht="11.25" hidden="false" customHeight="true" outlineLevel="0" collapsed="false">
      <c r="A5" s="666" t="n">
        <v>4213776</v>
      </c>
      <c r="B5" s="666" t="s">
        <v>173</v>
      </c>
    </row>
    <row r="6" customFormat="false" ht="11.25" hidden="false" customHeight="true" outlineLevel="0" collapsed="false">
      <c r="A6" s="666" t="n">
        <v>4213777</v>
      </c>
      <c r="B6" s="666" t="s">
        <v>179</v>
      </c>
    </row>
    <row r="7" customFormat="false" ht="11.25" hidden="false" customHeight="true" outlineLevel="0" collapsed="false">
      <c r="A7" s="666" t="n">
        <v>4213778</v>
      </c>
      <c r="B7" s="666" t="s">
        <v>185</v>
      </c>
    </row>
    <row r="8" customFormat="false" ht="11.25" hidden="false" customHeight="true" outlineLevel="0" collapsed="false">
      <c r="A8" s="666" t="n">
        <v>4213780</v>
      </c>
      <c r="B8" s="666" t="s">
        <v>191</v>
      </c>
    </row>
    <row r="9" customFormat="false" ht="11.25" hidden="false" customHeight="true" outlineLevel="0" collapsed="false">
      <c r="A9" s="666" t="n">
        <v>4213779</v>
      </c>
      <c r="B9" s="666" t="s">
        <v>1325</v>
      </c>
    </row>
    <row r="10" customFormat="false" ht="11.25" hidden="false" customHeight="true" outlineLevel="0" collapsed="false">
      <c r="A10" s="666" t="n">
        <v>4213783</v>
      </c>
      <c r="B10" s="666" t="s">
        <v>209</v>
      </c>
    </row>
    <row r="11" customFormat="false" ht="11.25" hidden="false" customHeight="true" outlineLevel="0" collapsed="false">
      <c r="A11" s="666" t="n">
        <v>4213782</v>
      </c>
      <c r="B11" s="666" t="s">
        <v>197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false" outlineLevel="0" max="1" min="1" style="666" width="9.14"/>
    <col collapsed="false" customWidth="true" hidden="false" outlineLevel="0" max="2" min="2" style="666" width="65.28"/>
  </cols>
  <sheetData>
    <row r="1" customFormat="false" ht="11.25" hidden="false" customHeight="true" outlineLevel="0" collapsed="false">
      <c r="A1" s="666" t="s">
        <v>3796</v>
      </c>
      <c r="B1" s="666" t="s">
        <v>3798</v>
      </c>
    </row>
    <row r="2" customFormat="false" ht="11.25" hidden="false" customHeight="true" outlineLevel="0" collapsed="false">
      <c r="A2" s="666" t="s">
        <v>3799</v>
      </c>
      <c r="B2" s="666" t="s">
        <v>1438</v>
      </c>
    </row>
    <row r="3" customFormat="false" ht="11.25" hidden="false" customHeight="true" outlineLevel="0" collapsed="false">
      <c r="A3" s="666" t="s">
        <v>3800</v>
      </c>
      <c r="B3" s="666" t="s">
        <v>1448</v>
      </c>
    </row>
    <row r="4" customFormat="false" ht="11.25" hidden="false" customHeight="true" outlineLevel="0" collapsed="false">
      <c r="A4" s="666" t="s">
        <v>3801</v>
      </c>
      <c r="B4" s="666" t="s">
        <v>1457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10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row r="1" customFormat="false" ht="11.25" hidden="false" customHeight="true" outlineLevel="0" collapsed="false">
      <c r="A1" s="53" t="s">
        <v>3548</v>
      </c>
      <c r="B1" s="53" t="s">
        <v>3549</v>
      </c>
      <c r="C1" s="53" t="s">
        <v>3550</v>
      </c>
      <c r="D1" s="53" t="s">
        <v>3551</v>
      </c>
      <c r="E1" s="53" t="s">
        <v>3552</v>
      </c>
      <c r="F1" s="53" t="s">
        <v>3553</v>
      </c>
      <c r="G1" s="53" t="s">
        <v>3554</v>
      </c>
    </row>
    <row r="2" customFormat="false" ht="11.25" hidden="false" customHeight="true" outlineLevel="0" collapsed="false">
      <c r="A2" s="53" t="s">
        <v>14</v>
      </c>
      <c r="B2" s="53" t="s">
        <v>3555</v>
      </c>
      <c r="C2" s="53" t="s">
        <v>3556</v>
      </c>
      <c r="D2" s="53" t="s">
        <v>3557</v>
      </c>
      <c r="E2" s="53" t="s">
        <v>3558</v>
      </c>
      <c r="F2" s="53" t="s">
        <v>3559</v>
      </c>
      <c r="G2" s="53" t="s">
        <v>117</v>
      </c>
    </row>
    <row r="3" customFormat="false" ht="11.25" hidden="false" customHeight="true" outlineLevel="0" collapsed="false">
      <c r="A3" s="53" t="s">
        <v>14</v>
      </c>
      <c r="B3" s="53" t="s">
        <v>3555</v>
      </c>
      <c r="C3" s="53" t="s">
        <v>3556</v>
      </c>
      <c r="D3" s="53" t="s">
        <v>3555</v>
      </c>
      <c r="E3" s="53" t="s">
        <v>3556</v>
      </c>
      <c r="F3" s="53" t="s">
        <v>3560</v>
      </c>
      <c r="G3" s="53" t="s">
        <v>99</v>
      </c>
    </row>
    <row r="4" customFormat="false" ht="11.25" hidden="false" customHeight="true" outlineLevel="0" collapsed="false">
      <c r="A4" s="53" t="s">
        <v>14</v>
      </c>
      <c r="B4" s="53" t="s">
        <v>3555</v>
      </c>
      <c r="C4" s="53" t="s">
        <v>3556</v>
      </c>
      <c r="D4" s="53" t="s">
        <v>3561</v>
      </c>
      <c r="E4" s="53" t="s">
        <v>3562</v>
      </c>
      <c r="F4" s="53" t="s">
        <v>3559</v>
      </c>
      <c r="G4" s="53" t="s">
        <v>86</v>
      </c>
    </row>
    <row r="5" customFormat="false" ht="11.25" hidden="false" customHeight="true" outlineLevel="0" collapsed="false">
      <c r="A5" s="53" t="s">
        <v>14</v>
      </c>
      <c r="B5" s="53" t="s">
        <v>3555</v>
      </c>
      <c r="C5" s="53" t="s">
        <v>3556</v>
      </c>
      <c r="D5" s="53" t="s">
        <v>3563</v>
      </c>
      <c r="E5" s="53" t="s">
        <v>3564</v>
      </c>
      <c r="F5" s="53" t="s">
        <v>3559</v>
      </c>
      <c r="G5" s="53" t="s">
        <v>87</v>
      </c>
    </row>
    <row r="6" customFormat="false" ht="11.25" hidden="false" customHeight="true" outlineLevel="0" collapsed="false">
      <c r="A6" s="53" t="s">
        <v>14</v>
      </c>
      <c r="B6" s="53" t="s">
        <v>3565</v>
      </c>
      <c r="C6" s="53" t="s">
        <v>3566</v>
      </c>
      <c r="D6" s="53" t="s">
        <v>3567</v>
      </c>
      <c r="E6" s="53" t="s">
        <v>3568</v>
      </c>
      <c r="F6" s="53" t="s">
        <v>3559</v>
      </c>
      <c r="G6" s="53" t="s">
        <v>118</v>
      </c>
    </row>
    <row r="7" customFormat="false" ht="11.25" hidden="false" customHeight="true" outlineLevel="0" collapsed="false">
      <c r="A7" s="53" t="s">
        <v>14</v>
      </c>
      <c r="B7" s="53" t="s">
        <v>3565</v>
      </c>
      <c r="C7" s="53" t="s">
        <v>3566</v>
      </c>
      <c r="D7" s="53" t="s">
        <v>3565</v>
      </c>
      <c r="E7" s="53" t="s">
        <v>3566</v>
      </c>
      <c r="F7" s="53" t="s">
        <v>3560</v>
      </c>
      <c r="G7" s="53" t="s">
        <v>88</v>
      </c>
    </row>
    <row r="8" customFormat="false" ht="11.25" hidden="false" customHeight="true" outlineLevel="0" collapsed="false">
      <c r="A8" s="53" t="s">
        <v>14</v>
      </c>
      <c r="B8" s="53" t="s">
        <v>3565</v>
      </c>
      <c r="C8" s="53" t="s">
        <v>3566</v>
      </c>
      <c r="D8" s="53" t="s">
        <v>3569</v>
      </c>
      <c r="E8" s="53" t="s">
        <v>3570</v>
      </c>
      <c r="F8" s="53" t="s">
        <v>3559</v>
      </c>
      <c r="G8" s="53" t="s">
        <v>89</v>
      </c>
    </row>
    <row r="9" customFormat="false" ht="11.25" hidden="false" customHeight="true" outlineLevel="0" collapsed="false">
      <c r="A9" s="53" t="s">
        <v>14</v>
      </c>
      <c r="B9" s="53" t="s">
        <v>3565</v>
      </c>
      <c r="C9" s="53" t="s">
        <v>3566</v>
      </c>
      <c r="D9" s="53" t="s">
        <v>3571</v>
      </c>
      <c r="E9" s="53" t="s">
        <v>3572</v>
      </c>
      <c r="F9" s="53" t="s">
        <v>3559</v>
      </c>
      <c r="G9" s="53" t="s">
        <v>119</v>
      </c>
    </row>
    <row r="10" customFormat="false" ht="11.25" hidden="false" customHeight="true" outlineLevel="0" collapsed="false">
      <c r="A10" s="53" t="s">
        <v>14</v>
      </c>
      <c r="B10" s="53" t="s">
        <v>3565</v>
      </c>
      <c r="C10" s="53" t="s">
        <v>3566</v>
      </c>
      <c r="D10" s="53" t="s">
        <v>3573</v>
      </c>
      <c r="E10" s="53" t="s">
        <v>3574</v>
      </c>
      <c r="F10" s="53" t="s">
        <v>3559</v>
      </c>
      <c r="G10" s="53" t="s">
        <v>155</v>
      </c>
    </row>
    <row r="11" customFormat="false" ht="11.25" hidden="false" customHeight="true" outlineLevel="0" collapsed="false">
      <c r="A11" s="53" t="s">
        <v>14</v>
      </c>
      <c r="B11" s="53" t="s">
        <v>3565</v>
      </c>
      <c r="C11" s="53" t="s">
        <v>3566</v>
      </c>
      <c r="D11" s="53" t="s">
        <v>3575</v>
      </c>
      <c r="E11" s="53" t="s">
        <v>3576</v>
      </c>
      <c r="F11" s="53" t="s">
        <v>3559</v>
      </c>
      <c r="G11" s="53" t="s">
        <v>156</v>
      </c>
    </row>
    <row r="12" customFormat="false" ht="11.25" hidden="false" customHeight="true" outlineLevel="0" collapsed="false">
      <c r="A12" s="53" t="s">
        <v>14</v>
      </c>
      <c r="B12" s="53" t="s">
        <v>3577</v>
      </c>
      <c r="C12" s="53" t="s">
        <v>3578</v>
      </c>
      <c r="D12" s="53" t="s">
        <v>3577</v>
      </c>
      <c r="E12" s="53" t="s">
        <v>3578</v>
      </c>
      <c r="F12" s="53" t="s">
        <v>3560</v>
      </c>
      <c r="G12" s="53" t="s">
        <v>157</v>
      </c>
    </row>
    <row r="13" customFormat="false" ht="11.25" hidden="false" customHeight="true" outlineLevel="0" collapsed="false">
      <c r="A13" s="53" t="s">
        <v>14</v>
      </c>
      <c r="B13" s="53" t="s">
        <v>3577</v>
      </c>
      <c r="C13" s="53" t="s">
        <v>3578</v>
      </c>
      <c r="D13" s="53" t="s">
        <v>3579</v>
      </c>
      <c r="E13" s="53" t="s">
        <v>3580</v>
      </c>
      <c r="F13" s="53" t="s">
        <v>3559</v>
      </c>
      <c r="G13" s="53" t="s">
        <v>158</v>
      </c>
    </row>
    <row r="14" customFormat="false" ht="11.25" hidden="false" customHeight="true" outlineLevel="0" collapsed="false">
      <c r="A14" s="53" t="s">
        <v>14</v>
      </c>
      <c r="B14" s="53" t="s">
        <v>3577</v>
      </c>
      <c r="C14" s="53" t="s">
        <v>3578</v>
      </c>
      <c r="D14" s="53" t="s">
        <v>3581</v>
      </c>
      <c r="E14" s="53" t="s">
        <v>3582</v>
      </c>
      <c r="F14" s="53" t="s">
        <v>3559</v>
      </c>
      <c r="G14" s="53" t="s">
        <v>159</v>
      </c>
    </row>
    <row r="15" customFormat="false" ht="11.25" hidden="false" customHeight="true" outlineLevel="0" collapsed="false">
      <c r="A15" s="53" t="s">
        <v>14</v>
      </c>
      <c r="B15" s="53" t="s">
        <v>3577</v>
      </c>
      <c r="C15" s="53" t="s">
        <v>3578</v>
      </c>
      <c r="D15" s="53" t="s">
        <v>3583</v>
      </c>
      <c r="E15" s="53" t="s">
        <v>3584</v>
      </c>
      <c r="F15" s="53" t="s">
        <v>3559</v>
      </c>
      <c r="G15" s="53" t="s">
        <v>160</v>
      </c>
    </row>
    <row r="16" customFormat="false" ht="11.25" hidden="false" customHeight="true" outlineLevel="0" collapsed="false">
      <c r="A16" s="53" t="s">
        <v>14</v>
      </c>
      <c r="B16" s="53" t="s">
        <v>3585</v>
      </c>
      <c r="C16" s="53" t="s">
        <v>3586</v>
      </c>
      <c r="D16" s="53" t="s">
        <v>3587</v>
      </c>
      <c r="E16" s="53" t="s">
        <v>3588</v>
      </c>
      <c r="F16" s="53" t="s">
        <v>3559</v>
      </c>
      <c r="G16" s="53" t="s">
        <v>1399</v>
      </c>
    </row>
    <row r="17" customFormat="false" ht="11.25" hidden="false" customHeight="true" outlineLevel="0" collapsed="false">
      <c r="A17" s="53" t="s">
        <v>14</v>
      </c>
      <c r="B17" s="53" t="s">
        <v>3585</v>
      </c>
      <c r="C17" s="53" t="s">
        <v>3586</v>
      </c>
      <c r="D17" s="53" t="s">
        <v>3585</v>
      </c>
      <c r="E17" s="53" t="s">
        <v>3586</v>
      </c>
      <c r="F17" s="53" t="s">
        <v>3560</v>
      </c>
      <c r="G17" s="53" t="s">
        <v>1405</v>
      </c>
    </row>
    <row r="18" customFormat="false" ht="11.25" hidden="false" customHeight="true" outlineLevel="0" collapsed="false">
      <c r="A18" s="53" t="s">
        <v>14</v>
      </c>
      <c r="B18" s="53" t="s">
        <v>3585</v>
      </c>
      <c r="C18" s="53" t="s">
        <v>3586</v>
      </c>
      <c r="D18" s="53" t="s">
        <v>3589</v>
      </c>
      <c r="E18" s="53" t="s">
        <v>3590</v>
      </c>
      <c r="F18" s="53" t="s">
        <v>3591</v>
      </c>
      <c r="G18" s="53" t="s">
        <v>1416</v>
      </c>
    </row>
    <row r="19" customFormat="false" ht="11.25" hidden="false" customHeight="true" outlineLevel="0" collapsed="false">
      <c r="A19" s="53" t="s">
        <v>14</v>
      </c>
      <c r="B19" s="53" t="s">
        <v>3585</v>
      </c>
      <c r="C19" s="53" t="s">
        <v>3586</v>
      </c>
      <c r="D19" s="53" t="s">
        <v>3592</v>
      </c>
      <c r="E19" s="53" t="s">
        <v>3593</v>
      </c>
      <c r="F19" s="53" t="s">
        <v>3559</v>
      </c>
      <c r="G19" s="53" t="s">
        <v>1430</v>
      </c>
    </row>
    <row r="20" customFormat="false" ht="11.25" hidden="false" customHeight="true" outlineLevel="0" collapsed="false">
      <c r="A20" s="53" t="s">
        <v>14</v>
      </c>
      <c r="B20" s="53" t="s">
        <v>3585</v>
      </c>
      <c r="C20" s="53" t="s">
        <v>3586</v>
      </c>
      <c r="D20" s="53" t="s">
        <v>3594</v>
      </c>
      <c r="E20" s="53" t="s">
        <v>3595</v>
      </c>
      <c r="F20" s="53" t="s">
        <v>3559</v>
      </c>
      <c r="G20" s="53" t="s">
        <v>1442</v>
      </c>
    </row>
    <row r="21" customFormat="false" ht="11.25" hidden="false" customHeight="true" outlineLevel="0" collapsed="false">
      <c r="A21" s="53" t="s">
        <v>14</v>
      </c>
      <c r="B21" s="53" t="s">
        <v>3585</v>
      </c>
      <c r="C21" s="53" t="s">
        <v>3586</v>
      </c>
      <c r="D21" s="53" t="s">
        <v>3596</v>
      </c>
      <c r="E21" s="53" t="s">
        <v>3597</v>
      </c>
      <c r="F21" s="53" t="s">
        <v>3559</v>
      </c>
      <c r="G21" s="53" t="s">
        <v>1451</v>
      </c>
    </row>
    <row r="22" customFormat="false" ht="11.25" hidden="false" customHeight="true" outlineLevel="0" collapsed="false">
      <c r="A22" s="53" t="s">
        <v>14</v>
      </c>
      <c r="B22" s="53" t="s">
        <v>3598</v>
      </c>
      <c r="C22" s="53" t="s">
        <v>3599</v>
      </c>
      <c r="D22" s="53" t="s">
        <v>3600</v>
      </c>
      <c r="E22" s="53" t="s">
        <v>3601</v>
      </c>
      <c r="F22" s="53" t="s">
        <v>3591</v>
      </c>
      <c r="G22" s="53" t="s">
        <v>1467</v>
      </c>
    </row>
    <row r="23" customFormat="false" ht="11.25" hidden="false" customHeight="true" outlineLevel="0" collapsed="false">
      <c r="A23" s="53" t="s">
        <v>14</v>
      </c>
      <c r="B23" s="53" t="s">
        <v>3598</v>
      </c>
      <c r="C23" s="53" t="s">
        <v>3599</v>
      </c>
      <c r="D23" s="53" t="s">
        <v>3598</v>
      </c>
      <c r="E23" s="53" t="s">
        <v>3599</v>
      </c>
      <c r="F23" s="53" t="s">
        <v>3560</v>
      </c>
      <c r="G23" s="53" t="s">
        <v>1474</v>
      </c>
    </row>
    <row r="24" customFormat="false" ht="11.25" hidden="false" customHeight="true" outlineLevel="0" collapsed="false">
      <c r="A24" s="53" t="s">
        <v>14</v>
      </c>
      <c r="B24" s="53" t="s">
        <v>3598</v>
      </c>
      <c r="C24" s="53" t="s">
        <v>3599</v>
      </c>
      <c r="D24" s="53" t="s">
        <v>3602</v>
      </c>
      <c r="E24" s="53" t="s">
        <v>3603</v>
      </c>
      <c r="F24" s="53" t="s">
        <v>3559</v>
      </c>
      <c r="G24" s="53" t="s">
        <v>1482</v>
      </c>
    </row>
    <row r="25" customFormat="false" ht="11.25" hidden="false" customHeight="true" outlineLevel="0" collapsed="false">
      <c r="A25" s="53" t="s">
        <v>14</v>
      </c>
      <c r="B25" s="53" t="s">
        <v>3598</v>
      </c>
      <c r="C25" s="53" t="s">
        <v>3599</v>
      </c>
      <c r="D25" s="53" t="s">
        <v>3604</v>
      </c>
      <c r="E25" s="53" t="s">
        <v>3605</v>
      </c>
      <c r="F25" s="53" t="s">
        <v>3559</v>
      </c>
      <c r="G25" s="53" t="s">
        <v>1489</v>
      </c>
    </row>
    <row r="26" customFormat="false" ht="11.25" hidden="false" customHeight="true" outlineLevel="0" collapsed="false">
      <c r="A26" s="53" t="s">
        <v>14</v>
      </c>
      <c r="B26" s="53" t="s">
        <v>3598</v>
      </c>
      <c r="C26" s="53" t="s">
        <v>3599</v>
      </c>
      <c r="D26" s="53" t="s">
        <v>3606</v>
      </c>
      <c r="E26" s="53" t="s">
        <v>3607</v>
      </c>
      <c r="F26" s="53" t="s">
        <v>3559</v>
      </c>
      <c r="G26" s="53" t="s">
        <v>1493</v>
      </c>
    </row>
    <row r="27" customFormat="false" ht="11.25" hidden="false" customHeight="true" outlineLevel="0" collapsed="false">
      <c r="A27" s="53" t="s">
        <v>14</v>
      </c>
      <c r="B27" s="53" t="s">
        <v>3608</v>
      </c>
      <c r="C27" s="53" t="s">
        <v>3609</v>
      </c>
      <c r="D27" s="53" t="s">
        <v>3610</v>
      </c>
      <c r="E27" s="53" t="s">
        <v>3611</v>
      </c>
      <c r="F27" s="53" t="s">
        <v>3559</v>
      </c>
      <c r="G27" s="53" t="s">
        <v>1498</v>
      </c>
    </row>
    <row r="28" customFormat="false" ht="11.25" hidden="false" customHeight="true" outlineLevel="0" collapsed="false">
      <c r="A28" s="53" t="s">
        <v>14</v>
      </c>
      <c r="B28" s="53" t="s">
        <v>3608</v>
      </c>
      <c r="C28" s="53" t="s">
        <v>3609</v>
      </c>
      <c r="D28" s="53" t="s">
        <v>3612</v>
      </c>
      <c r="E28" s="53" t="s">
        <v>3613</v>
      </c>
      <c r="F28" s="53" t="s">
        <v>3591</v>
      </c>
      <c r="G28" s="53" t="s">
        <v>1506</v>
      </c>
    </row>
    <row r="29" customFormat="false" ht="11.25" hidden="false" customHeight="true" outlineLevel="0" collapsed="false">
      <c r="A29" s="53" t="s">
        <v>14</v>
      </c>
      <c r="B29" s="53" t="s">
        <v>3608</v>
      </c>
      <c r="C29" s="53" t="s">
        <v>3609</v>
      </c>
      <c r="D29" s="53" t="s">
        <v>3614</v>
      </c>
      <c r="E29" s="53" t="s">
        <v>3615</v>
      </c>
      <c r="F29" s="53" t="s">
        <v>3559</v>
      </c>
      <c r="G29" s="53" t="s">
        <v>1508</v>
      </c>
    </row>
    <row r="30" customFormat="false" ht="11.25" hidden="false" customHeight="true" outlineLevel="0" collapsed="false">
      <c r="A30" s="53" t="s">
        <v>14</v>
      </c>
      <c r="B30" s="53" t="s">
        <v>3608</v>
      </c>
      <c r="C30" s="53" t="s">
        <v>3609</v>
      </c>
      <c r="D30" s="53" t="s">
        <v>3608</v>
      </c>
      <c r="E30" s="53" t="s">
        <v>3609</v>
      </c>
      <c r="F30" s="53" t="s">
        <v>3560</v>
      </c>
      <c r="G30" s="53" t="s">
        <v>1511</v>
      </c>
    </row>
    <row r="31" customFormat="false" ht="11.25" hidden="false" customHeight="true" outlineLevel="0" collapsed="false">
      <c r="A31" s="53" t="s">
        <v>14</v>
      </c>
      <c r="B31" s="53" t="s">
        <v>3608</v>
      </c>
      <c r="C31" s="53" t="s">
        <v>3609</v>
      </c>
      <c r="D31" s="53" t="s">
        <v>3616</v>
      </c>
      <c r="E31" s="53" t="s">
        <v>3617</v>
      </c>
      <c r="F31" s="53" t="s">
        <v>3559</v>
      </c>
      <c r="G31" s="53" t="s">
        <v>1516</v>
      </c>
    </row>
    <row r="32" customFormat="false" ht="11.25" hidden="false" customHeight="true" outlineLevel="0" collapsed="false">
      <c r="A32" s="53" t="s">
        <v>14</v>
      </c>
      <c r="B32" s="53" t="s">
        <v>3618</v>
      </c>
      <c r="C32" s="53" t="s">
        <v>3619</v>
      </c>
      <c r="D32" s="53" t="s">
        <v>3620</v>
      </c>
      <c r="E32" s="53" t="s">
        <v>3621</v>
      </c>
      <c r="F32" s="53" t="s">
        <v>3591</v>
      </c>
      <c r="G32" s="53" t="s">
        <v>1518</v>
      </c>
    </row>
    <row r="33" customFormat="false" ht="11.25" hidden="false" customHeight="true" outlineLevel="0" collapsed="false">
      <c r="A33" s="53" t="s">
        <v>14</v>
      </c>
      <c r="B33" s="53" t="s">
        <v>3618</v>
      </c>
      <c r="C33" s="53" t="s">
        <v>3619</v>
      </c>
      <c r="D33" s="53" t="s">
        <v>3618</v>
      </c>
      <c r="E33" s="53" t="s">
        <v>3619</v>
      </c>
      <c r="F33" s="53" t="s">
        <v>3560</v>
      </c>
      <c r="G33" s="53" t="s">
        <v>1520</v>
      </c>
    </row>
    <row r="34" customFormat="false" ht="11.25" hidden="false" customHeight="true" outlineLevel="0" collapsed="false">
      <c r="A34" s="53" t="s">
        <v>14</v>
      </c>
      <c r="B34" s="53" t="s">
        <v>3618</v>
      </c>
      <c r="C34" s="53" t="s">
        <v>3619</v>
      </c>
      <c r="D34" s="53" t="s">
        <v>3622</v>
      </c>
      <c r="E34" s="53" t="s">
        <v>3623</v>
      </c>
      <c r="F34" s="53" t="s">
        <v>3559</v>
      </c>
      <c r="G34" s="53" t="s">
        <v>1522</v>
      </c>
    </row>
    <row r="35" customFormat="false" ht="11.25" hidden="false" customHeight="true" outlineLevel="0" collapsed="false">
      <c r="A35" s="53" t="s">
        <v>14</v>
      </c>
      <c r="B35" s="53" t="s">
        <v>3618</v>
      </c>
      <c r="C35" s="53" t="s">
        <v>3619</v>
      </c>
      <c r="D35" s="53" t="s">
        <v>3624</v>
      </c>
      <c r="E35" s="53" t="s">
        <v>3625</v>
      </c>
      <c r="F35" s="53" t="s">
        <v>3559</v>
      </c>
      <c r="G35" s="53" t="s">
        <v>1527</v>
      </c>
    </row>
    <row r="36" customFormat="false" ht="11.25" hidden="false" customHeight="true" outlineLevel="0" collapsed="false">
      <c r="A36" s="53" t="s">
        <v>14</v>
      </c>
      <c r="B36" s="53" t="s">
        <v>3626</v>
      </c>
      <c r="C36" s="53" t="s">
        <v>3627</v>
      </c>
      <c r="D36" s="53" t="s">
        <v>3628</v>
      </c>
      <c r="E36" s="53" t="s">
        <v>3629</v>
      </c>
      <c r="F36" s="53" t="s">
        <v>3559</v>
      </c>
      <c r="G36" s="53" t="s">
        <v>1532</v>
      </c>
    </row>
    <row r="37" customFormat="false" ht="11.25" hidden="false" customHeight="true" outlineLevel="0" collapsed="false">
      <c r="A37" s="53" t="s">
        <v>14</v>
      </c>
      <c r="B37" s="53" t="s">
        <v>3626</v>
      </c>
      <c r="C37" s="53" t="s">
        <v>3627</v>
      </c>
      <c r="D37" s="53" t="s">
        <v>3630</v>
      </c>
      <c r="E37" s="53" t="s">
        <v>3631</v>
      </c>
      <c r="F37" s="53" t="s">
        <v>3559</v>
      </c>
      <c r="G37" s="53" t="s">
        <v>1536</v>
      </c>
    </row>
    <row r="38" customFormat="false" ht="11.25" hidden="false" customHeight="true" outlineLevel="0" collapsed="false">
      <c r="A38" s="53" t="s">
        <v>14</v>
      </c>
      <c r="B38" s="53" t="s">
        <v>3626</v>
      </c>
      <c r="C38" s="53" t="s">
        <v>3627</v>
      </c>
      <c r="D38" s="53" t="s">
        <v>3626</v>
      </c>
      <c r="E38" s="53" t="s">
        <v>3627</v>
      </c>
      <c r="F38" s="53" t="s">
        <v>3560</v>
      </c>
      <c r="G38" s="53" t="s">
        <v>1544</v>
      </c>
    </row>
    <row r="39" customFormat="false" ht="11.25" hidden="false" customHeight="true" outlineLevel="0" collapsed="false">
      <c r="A39" s="53" t="s">
        <v>14</v>
      </c>
      <c r="B39" s="53" t="s">
        <v>3626</v>
      </c>
      <c r="C39" s="53" t="s">
        <v>3627</v>
      </c>
      <c r="D39" s="53" t="s">
        <v>3632</v>
      </c>
      <c r="E39" s="53" t="s">
        <v>3633</v>
      </c>
      <c r="F39" s="53" t="s">
        <v>3559</v>
      </c>
      <c r="G39" s="53" t="s">
        <v>1550</v>
      </c>
    </row>
    <row r="40" customFormat="false" ht="11.25" hidden="false" customHeight="true" outlineLevel="0" collapsed="false">
      <c r="A40" s="53" t="s">
        <v>14</v>
      </c>
      <c r="B40" s="53" t="s">
        <v>3626</v>
      </c>
      <c r="C40" s="53" t="s">
        <v>3627</v>
      </c>
      <c r="D40" s="53" t="s">
        <v>3634</v>
      </c>
      <c r="E40" s="53" t="s">
        <v>3635</v>
      </c>
      <c r="F40" s="53" t="s">
        <v>3559</v>
      </c>
      <c r="G40" s="53" t="s">
        <v>1555</v>
      </c>
    </row>
    <row r="41" customFormat="false" ht="11.25" hidden="false" customHeight="true" outlineLevel="0" collapsed="false">
      <c r="A41" s="53" t="s">
        <v>14</v>
      </c>
      <c r="B41" s="53" t="s">
        <v>3636</v>
      </c>
      <c r="C41" s="53" t="s">
        <v>3637</v>
      </c>
      <c r="D41" s="53" t="s">
        <v>3638</v>
      </c>
      <c r="E41" s="53" t="s">
        <v>3639</v>
      </c>
      <c r="F41" s="53" t="s">
        <v>3559</v>
      </c>
      <c r="G41" s="53" t="s">
        <v>1559</v>
      </c>
    </row>
    <row r="42" customFormat="false" ht="11.25" hidden="false" customHeight="true" outlineLevel="0" collapsed="false">
      <c r="A42" s="53" t="s">
        <v>14</v>
      </c>
      <c r="B42" s="53" t="s">
        <v>3636</v>
      </c>
      <c r="C42" s="53" t="s">
        <v>3637</v>
      </c>
      <c r="D42" s="53" t="s">
        <v>3640</v>
      </c>
      <c r="E42" s="53" t="s">
        <v>3641</v>
      </c>
      <c r="F42" s="53" t="s">
        <v>3559</v>
      </c>
      <c r="G42" s="53" t="s">
        <v>1562</v>
      </c>
    </row>
    <row r="43" customFormat="false" ht="11.25" hidden="false" customHeight="true" outlineLevel="0" collapsed="false">
      <c r="A43" s="53" t="s">
        <v>14</v>
      </c>
      <c r="B43" s="53" t="s">
        <v>3636</v>
      </c>
      <c r="C43" s="53" t="s">
        <v>3637</v>
      </c>
      <c r="D43" s="53" t="s">
        <v>3636</v>
      </c>
      <c r="E43" s="53" t="s">
        <v>3637</v>
      </c>
      <c r="F43" s="53" t="s">
        <v>3560</v>
      </c>
      <c r="G43" s="53" t="s">
        <v>1569</v>
      </c>
    </row>
    <row r="44" customFormat="false" ht="11.25" hidden="false" customHeight="true" outlineLevel="0" collapsed="false">
      <c r="A44" s="53" t="s">
        <v>14</v>
      </c>
      <c r="B44" s="53" t="s">
        <v>3636</v>
      </c>
      <c r="C44" s="53" t="s">
        <v>3637</v>
      </c>
      <c r="D44" s="53" t="s">
        <v>3642</v>
      </c>
      <c r="E44" s="53" t="s">
        <v>3643</v>
      </c>
      <c r="F44" s="53" t="s">
        <v>3559</v>
      </c>
      <c r="G44" s="53" t="s">
        <v>1578</v>
      </c>
    </row>
    <row r="45" customFormat="false" ht="11.25" hidden="false" customHeight="true" outlineLevel="0" collapsed="false">
      <c r="A45" s="53" t="s">
        <v>14</v>
      </c>
      <c r="B45" s="53" t="s">
        <v>3644</v>
      </c>
      <c r="C45" s="53" t="s">
        <v>3645</v>
      </c>
      <c r="D45" s="53" t="s">
        <v>3646</v>
      </c>
      <c r="E45" s="53" t="s">
        <v>3647</v>
      </c>
      <c r="F45" s="53" t="s">
        <v>3648</v>
      </c>
      <c r="G45" s="53" t="s">
        <v>1583</v>
      </c>
    </row>
    <row r="46" customFormat="false" ht="11.25" hidden="false" customHeight="true" outlineLevel="0" collapsed="false">
      <c r="A46" s="53" t="s">
        <v>14</v>
      </c>
      <c r="B46" s="53" t="s">
        <v>3644</v>
      </c>
      <c r="C46" s="53" t="s">
        <v>3645</v>
      </c>
      <c r="D46" s="53" t="s">
        <v>3649</v>
      </c>
      <c r="E46" s="53" t="s">
        <v>3650</v>
      </c>
      <c r="F46" s="53" t="s">
        <v>3559</v>
      </c>
      <c r="G46" s="53" t="s">
        <v>1587</v>
      </c>
    </row>
    <row r="47" customFormat="false" ht="11.25" hidden="false" customHeight="true" outlineLevel="0" collapsed="false">
      <c r="A47" s="53" t="s">
        <v>14</v>
      </c>
      <c r="B47" s="53" t="s">
        <v>3644</v>
      </c>
      <c r="C47" s="53" t="s">
        <v>3645</v>
      </c>
      <c r="D47" s="53" t="s">
        <v>3644</v>
      </c>
      <c r="E47" s="53" t="s">
        <v>3645</v>
      </c>
      <c r="F47" s="53" t="s">
        <v>3560</v>
      </c>
      <c r="G47" s="53" t="s">
        <v>1593</v>
      </c>
    </row>
    <row r="48" customFormat="false" ht="11.25" hidden="false" customHeight="true" outlineLevel="0" collapsed="false">
      <c r="A48" s="53" t="s">
        <v>14</v>
      </c>
      <c r="B48" s="53" t="s">
        <v>3644</v>
      </c>
      <c r="C48" s="53" t="s">
        <v>3645</v>
      </c>
      <c r="D48" s="53" t="s">
        <v>3651</v>
      </c>
      <c r="E48" s="53" t="s">
        <v>3652</v>
      </c>
      <c r="F48" s="53" t="s">
        <v>3559</v>
      </c>
      <c r="G48" s="53" t="s">
        <v>1598</v>
      </c>
    </row>
    <row r="49" customFormat="false" ht="11.25" hidden="false" customHeight="true" outlineLevel="0" collapsed="false">
      <c r="A49" s="53" t="s">
        <v>14</v>
      </c>
      <c r="B49" s="53" t="s">
        <v>3653</v>
      </c>
      <c r="C49" s="53" t="s">
        <v>3654</v>
      </c>
      <c r="D49" s="53" t="s">
        <v>3655</v>
      </c>
      <c r="E49" s="53" t="s">
        <v>3656</v>
      </c>
      <c r="F49" s="53" t="s">
        <v>3559</v>
      </c>
      <c r="G49" s="53" t="s">
        <v>1601</v>
      </c>
    </row>
    <row r="50" customFormat="false" ht="11.25" hidden="false" customHeight="true" outlineLevel="0" collapsed="false">
      <c r="A50" s="53" t="s">
        <v>14</v>
      </c>
      <c r="B50" s="53" t="s">
        <v>3653</v>
      </c>
      <c r="C50" s="53" t="s">
        <v>3654</v>
      </c>
      <c r="D50" s="53" t="s">
        <v>3653</v>
      </c>
      <c r="E50" s="53" t="s">
        <v>3654</v>
      </c>
      <c r="F50" s="53" t="s">
        <v>3560</v>
      </c>
      <c r="G50" s="53" t="s">
        <v>1605</v>
      </c>
    </row>
    <row r="51" customFormat="false" ht="11.25" hidden="false" customHeight="true" outlineLevel="0" collapsed="false">
      <c r="A51" s="53" t="s">
        <v>14</v>
      </c>
      <c r="B51" s="53" t="s">
        <v>3653</v>
      </c>
      <c r="C51" s="53" t="s">
        <v>3654</v>
      </c>
      <c r="D51" s="53" t="s">
        <v>3657</v>
      </c>
      <c r="E51" s="53" t="s">
        <v>3658</v>
      </c>
      <c r="F51" s="53" t="s">
        <v>3559</v>
      </c>
      <c r="G51" s="53" t="s">
        <v>1609</v>
      </c>
    </row>
    <row r="52" customFormat="false" ht="11.25" hidden="false" customHeight="true" outlineLevel="0" collapsed="false">
      <c r="A52" s="53" t="s">
        <v>14</v>
      </c>
      <c r="B52" s="53" t="s">
        <v>3653</v>
      </c>
      <c r="C52" s="53" t="s">
        <v>3654</v>
      </c>
      <c r="D52" s="53" t="s">
        <v>3659</v>
      </c>
      <c r="E52" s="53" t="s">
        <v>3660</v>
      </c>
      <c r="F52" s="53" t="s">
        <v>3559</v>
      </c>
      <c r="G52" s="53" t="s">
        <v>1613</v>
      </c>
    </row>
    <row r="53" customFormat="false" ht="11.25" hidden="false" customHeight="true" outlineLevel="0" collapsed="false">
      <c r="A53" s="53" t="s">
        <v>14</v>
      </c>
      <c r="B53" s="53" t="s">
        <v>3661</v>
      </c>
      <c r="C53" s="53" t="s">
        <v>3662</v>
      </c>
      <c r="D53" s="53" t="s">
        <v>3663</v>
      </c>
      <c r="E53" s="53" t="s">
        <v>3664</v>
      </c>
      <c r="F53" s="53" t="s">
        <v>3559</v>
      </c>
      <c r="G53" s="53" t="s">
        <v>1615</v>
      </c>
    </row>
    <row r="54" customFormat="false" ht="11.25" hidden="false" customHeight="true" outlineLevel="0" collapsed="false">
      <c r="A54" s="53" t="s">
        <v>14</v>
      </c>
      <c r="B54" s="53" t="s">
        <v>3661</v>
      </c>
      <c r="C54" s="53" t="s">
        <v>3662</v>
      </c>
      <c r="D54" s="53" t="s">
        <v>3665</v>
      </c>
      <c r="E54" s="53" t="s">
        <v>3666</v>
      </c>
      <c r="F54" s="53" t="s">
        <v>3591</v>
      </c>
      <c r="G54" s="53" t="s">
        <v>1618</v>
      </c>
    </row>
    <row r="55" customFormat="false" ht="11.25" hidden="false" customHeight="true" outlineLevel="0" collapsed="false">
      <c r="A55" s="53" t="s">
        <v>14</v>
      </c>
      <c r="B55" s="53" t="s">
        <v>3661</v>
      </c>
      <c r="C55" s="53" t="s">
        <v>3662</v>
      </c>
      <c r="D55" s="53" t="s">
        <v>3614</v>
      </c>
      <c r="E55" s="53" t="s">
        <v>3667</v>
      </c>
      <c r="F55" s="53" t="s">
        <v>3559</v>
      </c>
      <c r="G55" s="53" t="s">
        <v>1622</v>
      </c>
    </row>
    <row r="56" customFormat="false" ht="11.25" hidden="false" customHeight="true" outlineLevel="0" collapsed="false">
      <c r="A56" s="53" t="s">
        <v>14</v>
      </c>
      <c r="B56" s="53" t="s">
        <v>3661</v>
      </c>
      <c r="C56" s="53" t="s">
        <v>3662</v>
      </c>
      <c r="D56" s="53" t="s">
        <v>3668</v>
      </c>
      <c r="E56" s="53" t="s">
        <v>3669</v>
      </c>
      <c r="F56" s="53" t="s">
        <v>3559</v>
      </c>
      <c r="G56" s="53" t="s">
        <v>1625</v>
      </c>
    </row>
    <row r="57" customFormat="false" ht="11.25" hidden="false" customHeight="true" outlineLevel="0" collapsed="false">
      <c r="A57" s="53" t="s">
        <v>14</v>
      </c>
      <c r="B57" s="53" t="s">
        <v>3661</v>
      </c>
      <c r="C57" s="53" t="s">
        <v>3662</v>
      </c>
      <c r="D57" s="53" t="s">
        <v>3661</v>
      </c>
      <c r="E57" s="53" t="s">
        <v>3662</v>
      </c>
      <c r="F57" s="53" t="s">
        <v>3560</v>
      </c>
      <c r="G57" s="53" t="s">
        <v>1628</v>
      </c>
    </row>
    <row r="58" customFormat="false" ht="11.25" hidden="false" customHeight="true" outlineLevel="0" collapsed="false">
      <c r="A58" s="53" t="s">
        <v>14</v>
      </c>
      <c r="B58" s="53" t="s">
        <v>3661</v>
      </c>
      <c r="C58" s="53" t="s">
        <v>3662</v>
      </c>
      <c r="D58" s="53" t="s">
        <v>3657</v>
      </c>
      <c r="E58" s="53" t="s">
        <v>3670</v>
      </c>
      <c r="F58" s="53" t="s">
        <v>3559</v>
      </c>
      <c r="G58" s="53" t="s">
        <v>1631</v>
      </c>
    </row>
    <row r="59" customFormat="false" ht="11.25" hidden="false" customHeight="true" outlineLevel="0" collapsed="false">
      <c r="A59" s="53" t="s">
        <v>14</v>
      </c>
      <c r="B59" s="53" t="s">
        <v>103</v>
      </c>
      <c r="C59" s="53" t="s">
        <v>3671</v>
      </c>
      <c r="D59" s="53" t="s">
        <v>3672</v>
      </c>
      <c r="E59" s="53" t="s">
        <v>3673</v>
      </c>
      <c r="F59" s="53" t="s">
        <v>3591</v>
      </c>
      <c r="G59" s="53" t="s">
        <v>1635</v>
      </c>
    </row>
    <row r="60" customFormat="false" ht="11.25" hidden="false" customHeight="true" outlineLevel="0" collapsed="false">
      <c r="A60" s="53" t="s">
        <v>14</v>
      </c>
      <c r="B60" s="53" t="s">
        <v>103</v>
      </c>
      <c r="C60" s="53" t="s">
        <v>3671</v>
      </c>
      <c r="D60" s="53" t="s">
        <v>3674</v>
      </c>
      <c r="E60" s="53" t="s">
        <v>3675</v>
      </c>
      <c r="F60" s="53" t="s">
        <v>3559</v>
      </c>
      <c r="G60" s="53" t="s">
        <v>1638</v>
      </c>
    </row>
    <row r="61" customFormat="false" ht="11.25" hidden="false" customHeight="true" outlineLevel="0" collapsed="false">
      <c r="A61" s="53" t="s">
        <v>14</v>
      </c>
      <c r="B61" s="53" t="s">
        <v>103</v>
      </c>
      <c r="C61" s="53" t="s">
        <v>3671</v>
      </c>
      <c r="D61" s="53" t="s">
        <v>3676</v>
      </c>
      <c r="E61" s="53" t="s">
        <v>3677</v>
      </c>
      <c r="F61" s="53" t="s">
        <v>3559</v>
      </c>
      <c r="G61" s="53" t="s">
        <v>3678</v>
      </c>
    </row>
    <row r="62" customFormat="false" ht="11.25" hidden="false" customHeight="true" outlineLevel="0" collapsed="false">
      <c r="A62" s="53" t="s">
        <v>14</v>
      </c>
      <c r="B62" s="53" t="s">
        <v>103</v>
      </c>
      <c r="C62" s="53" t="s">
        <v>3671</v>
      </c>
      <c r="D62" s="53" t="s">
        <v>3679</v>
      </c>
      <c r="E62" s="53" t="s">
        <v>3680</v>
      </c>
      <c r="F62" s="53" t="s">
        <v>3559</v>
      </c>
      <c r="G62" s="53" t="s">
        <v>3681</v>
      </c>
    </row>
    <row r="63" customFormat="false" ht="11.25" hidden="false" customHeight="true" outlineLevel="0" collapsed="false">
      <c r="A63" s="53" t="s">
        <v>14</v>
      </c>
      <c r="B63" s="53" t="s">
        <v>103</v>
      </c>
      <c r="C63" s="53" t="s">
        <v>3671</v>
      </c>
      <c r="D63" s="53" t="s">
        <v>103</v>
      </c>
      <c r="E63" s="53" t="s">
        <v>3671</v>
      </c>
      <c r="F63" s="53" t="s">
        <v>3560</v>
      </c>
      <c r="G63" s="53" t="s">
        <v>3682</v>
      </c>
    </row>
    <row r="64" customFormat="false" ht="11.25" hidden="false" customHeight="true" outlineLevel="0" collapsed="false">
      <c r="A64" s="53" t="s">
        <v>14</v>
      </c>
      <c r="B64" s="53" t="s">
        <v>103</v>
      </c>
      <c r="C64" s="53" t="s">
        <v>3671</v>
      </c>
      <c r="D64" s="53" t="s">
        <v>104</v>
      </c>
      <c r="E64" s="53" t="s">
        <v>105</v>
      </c>
      <c r="F64" s="53" t="s">
        <v>3559</v>
      </c>
      <c r="G64" s="53" t="s">
        <v>102</v>
      </c>
    </row>
    <row r="65" customFormat="false" ht="11.25" hidden="false" customHeight="true" outlineLevel="0" collapsed="false">
      <c r="A65" s="53" t="s">
        <v>14</v>
      </c>
      <c r="B65" s="53" t="s">
        <v>3683</v>
      </c>
      <c r="C65" s="53" t="s">
        <v>3684</v>
      </c>
      <c r="D65" s="53" t="s">
        <v>3685</v>
      </c>
      <c r="E65" s="53" t="s">
        <v>3686</v>
      </c>
      <c r="F65" s="53" t="s">
        <v>3559</v>
      </c>
      <c r="G65" s="53" t="s">
        <v>3687</v>
      </c>
    </row>
    <row r="66" customFormat="false" ht="11.25" hidden="false" customHeight="true" outlineLevel="0" collapsed="false">
      <c r="A66" s="53" t="s">
        <v>14</v>
      </c>
      <c r="B66" s="53" t="s">
        <v>3683</v>
      </c>
      <c r="C66" s="53" t="s">
        <v>3684</v>
      </c>
      <c r="D66" s="53" t="s">
        <v>3630</v>
      </c>
      <c r="E66" s="53" t="s">
        <v>3688</v>
      </c>
      <c r="F66" s="53" t="s">
        <v>3559</v>
      </c>
      <c r="G66" s="53" t="s">
        <v>3689</v>
      </c>
    </row>
    <row r="67" customFormat="false" ht="11.25" hidden="false" customHeight="true" outlineLevel="0" collapsed="false">
      <c r="A67" s="53" t="s">
        <v>14</v>
      </c>
      <c r="B67" s="53" t="s">
        <v>3683</v>
      </c>
      <c r="C67" s="53" t="s">
        <v>3684</v>
      </c>
      <c r="D67" s="53" t="s">
        <v>3690</v>
      </c>
      <c r="E67" s="53" t="s">
        <v>3691</v>
      </c>
      <c r="F67" s="53" t="s">
        <v>3559</v>
      </c>
      <c r="G67" s="53" t="s">
        <v>1956</v>
      </c>
    </row>
    <row r="68" customFormat="false" ht="11.25" hidden="false" customHeight="true" outlineLevel="0" collapsed="false">
      <c r="A68" s="53" t="s">
        <v>14</v>
      </c>
      <c r="B68" s="53" t="s">
        <v>3683</v>
      </c>
      <c r="C68" s="53" t="s">
        <v>3684</v>
      </c>
      <c r="D68" s="53" t="s">
        <v>3692</v>
      </c>
      <c r="E68" s="53" t="s">
        <v>3693</v>
      </c>
      <c r="F68" s="53" t="s">
        <v>3559</v>
      </c>
      <c r="G68" s="53" t="s">
        <v>3694</v>
      </c>
    </row>
    <row r="69" customFormat="false" ht="11.25" hidden="false" customHeight="true" outlineLevel="0" collapsed="false">
      <c r="A69" s="53" t="s">
        <v>14</v>
      </c>
      <c r="B69" s="53" t="s">
        <v>3683</v>
      </c>
      <c r="C69" s="53" t="s">
        <v>3684</v>
      </c>
      <c r="D69" s="53" t="s">
        <v>3695</v>
      </c>
      <c r="E69" s="53" t="s">
        <v>3696</v>
      </c>
      <c r="F69" s="53" t="s">
        <v>3559</v>
      </c>
      <c r="G69" s="53" t="s">
        <v>2167</v>
      </c>
    </row>
    <row r="70" customFormat="false" ht="11.25" hidden="false" customHeight="true" outlineLevel="0" collapsed="false">
      <c r="A70" s="53" t="s">
        <v>14</v>
      </c>
      <c r="B70" s="53" t="s">
        <v>3683</v>
      </c>
      <c r="C70" s="53" t="s">
        <v>3684</v>
      </c>
      <c r="D70" s="53" t="s">
        <v>3697</v>
      </c>
      <c r="E70" s="53" t="s">
        <v>3698</v>
      </c>
      <c r="F70" s="53" t="s">
        <v>3559</v>
      </c>
      <c r="G70" s="53" t="s">
        <v>3699</v>
      </c>
    </row>
    <row r="71" customFormat="false" ht="11.25" hidden="false" customHeight="true" outlineLevel="0" collapsed="false">
      <c r="A71" s="53" t="s">
        <v>14</v>
      </c>
      <c r="B71" s="53" t="s">
        <v>3683</v>
      </c>
      <c r="C71" s="53" t="s">
        <v>3684</v>
      </c>
      <c r="D71" s="53" t="s">
        <v>3700</v>
      </c>
      <c r="E71" s="53" t="s">
        <v>3701</v>
      </c>
      <c r="F71" s="53" t="s">
        <v>3559</v>
      </c>
      <c r="G71" s="53" t="s">
        <v>3702</v>
      </c>
    </row>
    <row r="72" customFormat="false" ht="11.25" hidden="false" customHeight="true" outlineLevel="0" collapsed="false">
      <c r="A72" s="53" t="s">
        <v>14</v>
      </c>
      <c r="B72" s="53" t="s">
        <v>3683</v>
      </c>
      <c r="C72" s="53" t="s">
        <v>3684</v>
      </c>
      <c r="D72" s="53" t="s">
        <v>3634</v>
      </c>
      <c r="E72" s="53" t="s">
        <v>3703</v>
      </c>
      <c r="F72" s="53" t="s">
        <v>3559</v>
      </c>
      <c r="G72" s="53" t="s">
        <v>3704</v>
      </c>
    </row>
    <row r="73" customFormat="false" ht="11.25" hidden="false" customHeight="true" outlineLevel="0" collapsed="false">
      <c r="A73" s="53" t="s">
        <v>14</v>
      </c>
      <c r="B73" s="53" t="s">
        <v>3683</v>
      </c>
      <c r="C73" s="53" t="s">
        <v>3684</v>
      </c>
      <c r="D73" s="53" t="s">
        <v>3705</v>
      </c>
      <c r="E73" s="53" t="s">
        <v>3706</v>
      </c>
      <c r="F73" s="53" t="s">
        <v>3559</v>
      </c>
      <c r="G73" s="53" t="s">
        <v>3707</v>
      </c>
    </row>
    <row r="74" customFormat="false" ht="11.25" hidden="false" customHeight="true" outlineLevel="0" collapsed="false">
      <c r="A74" s="53" t="s">
        <v>14</v>
      </c>
      <c r="B74" s="53" t="s">
        <v>3683</v>
      </c>
      <c r="C74" s="53" t="s">
        <v>3684</v>
      </c>
      <c r="D74" s="53" t="s">
        <v>3683</v>
      </c>
      <c r="E74" s="53" t="s">
        <v>3684</v>
      </c>
      <c r="F74" s="53" t="s">
        <v>3560</v>
      </c>
      <c r="G74" s="53" t="s">
        <v>3708</v>
      </c>
    </row>
    <row r="75" customFormat="false" ht="11.25" hidden="false" customHeight="true" outlineLevel="0" collapsed="false">
      <c r="A75" s="53" t="s">
        <v>14</v>
      </c>
      <c r="B75" s="53" t="s">
        <v>3683</v>
      </c>
      <c r="C75" s="53" t="s">
        <v>3684</v>
      </c>
      <c r="D75" s="53" t="s">
        <v>3709</v>
      </c>
      <c r="E75" s="53" t="s">
        <v>3710</v>
      </c>
      <c r="F75" s="53" t="s">
        <v>3559</v>
      </c>
      <c r="G75" s="53" t="s">
        <v>3711</v>
      </c>
    </row>
    <row r="76" customFormat="false" ht="11.25" hidden="false" customHeight="true" outlineLevel="0" collapsed="false">
      <c r="A76" s="53" t="s">
        <v>14</v>
      </c>
      <c r="B76" s="53" t="s">
        <v>3683</v>
      </c>
      <c r="C76" s="53" t="s">
        <v>3684</v>
      </c>
      <c r="D76" s="53" t="s">
        <v>3712</v>
      </c>
      <c r="E76" s="53" t="s">
        <v>3713</v>
      </c>
      <c r="F76" s="53" t="s">
        <v>3559</v>
      </c>
      <c r="G76" s="53" t="s">
        <v>3714</v>
      </c>
    </row>
    <row r="77" customFormat="false" ht="11.25" hidden="false" customHeight="true" outlineLevel="0" collapsed="false">
      <c r="A77" s="53" t="s">
        <v>14</v>
      </c>
      <c r="B77" s="53" t="s">
        <v>3715</v>
      </c>
      <c r="C77" s="53" t="s">
        <v>3716</v>
      </c>
      <c r="D77" s="53" t="s">
        <v>3717</v>
      </c>
      <c r="E77" s="53" t="s">
        <v>3718</v>
      </c>
      <c r="F77" s="53" t="s">
        <v>3559</v>
      </c>
      <c r="G77" s="53" t="s">
        <v>3719</v>
      </c>
    </row>
    <row r="78" customFormat="false" ht="11.25" hidden="false" customHeight="true" outlineLevel="0" collapsed="false">
      <c r="A78" s="53" t="s">
        <v>14</v>
      </c>
      <c r="B78" s="53" t="s">
        <v>3715</v>
      </c>
      <c r="C78" s="53" t="s">
        <v>3716</v>
      </c>
      <c r="D78" s="53" t="s">
        <v>3720</v>
      </c>
      <c r="E78" s="53" t="s">
        <v>3721</v>
      </c>
      <c r="F78" s="53" t="s">
        <v>3591</v>
      </c>
      <c r="G78" s="53" t="s">
        <v>3722</v>
      </c>
    </row>
    <row r="79" customFormat="false" ht="11.25" hidden="false" customHeight="true" outlineLevel="0" collapsed="false">
      <c r="A79" s="53" t="s">
        <v>14</v>
      </c>
      <c r="B79" s="53" t="s">
        <v>3715</v>
      </c>
      <c r="C79" s="53" t="s">
        <v>3716</v>
      </c>
      <c r="D79" s="53" t="s">
        <v>3723</v>
      </c>
      <c r="E79" s="53" t="s">
        <v>3724</v>
      </c>
      <c r="F79" s="53" t="s">
        <v>3559</v>
      </c>
      <c r="G79" s="53" t="s">
        <v>3725</v>
      </c>
    </row>
    <row r="80" customFormat="false" ht="11.25" hidden="false" customHeight="true" outlineLevel="0" collapsed="false">
      <c r="A80" s="53" t="s">
        <v>14</v>
      </c>
      <c r="B80" s="53" t="s">
        <v>3715</v>
      </c>
      <c r="C80" s="53" t="s">
        <v>3716</v>
      </c>
      <c r="D80" s="53" t="s">
        <v>3726</v>
      </c>
      <c r="E80" s="53" t="s">
        <v>3727</v>
      </c>
      <c r="F80" s="53" t="s">
        <v>3559</v>
      </c>
      <c r="G80" s="53" t="s">
        <v>3728</v>
      </c>
    </row>
    <row r="81" customFormat="false" ht="11.25" hidden="false" customHeight="true" outlineLevel="0" collapsed="false">
      <c r="A81" s="53" t="s">
        <v>14</v>
      </c>
      <c r="B81" s="53" t="s">
        <v>3715</v>
      </c>
      <c r="C81" s="53" t="s">
        <v>3716</v>
      </c>
      <c r="D81" s="53" t="s">
        <v>3715</v>
      </c>
      <c r="E81" s="53" t="s">
        <v>3716</v>
      </c>
      <c r="F81" s="53" t="s">
        <v>3560</v>
      </c>
      <c r="G81" s="53" t="s">
        <v>3729</v>
      </c>
    </row>
    <row r="82" customFormat="false" ht="11.25" hidden="false" customHeight="true" outlineLevel="0" collapsed="false">
      <c r="A82" s="53" t="s">
        <v>14</v>
      </c>
      <c r="B82" s="53" t="s">
        <v>3715</v>
      </c>
      <c r="C82" s="53" t="s">
        <v>3716</v>
      </c>
      <c r="D82" s="53" t="s">
        <v>3730</v>
      </c>
      <c r="E82" s="53" t="s">
        <v>3731</v>
      </c>
      <c r="F82" s="53" t="s">
        <v>3559</v>
      </c>
      <c r="G82" s="53" t="s">
        <v>3732</v>
      </c>
    </row>
    <row r="83" customFormat="false" ht="11.25" hidden="false" customHeight="true" outlineLevel="0" collapsed="false">
      <c r="A83" s="53" t="s">
        <v>14</v>
      </c>
      <c r="B83" s="53" t="s">
        <v>108</v>
      </c>
      <c r="C83" s="53" t="s">
        <v>3733</v>
      </c>
      <c r="D83" s="53" t="s">
        <v>3734</v>
      </c>
      <c r="E83" s="53" t="s">
        <v>3735</v>
      </c>
      <c r="F83" s="53" t="s">
        <v>3559</v>
      </c>
      <c r="G83" s="53" t="s">
        <v>3736</v>
      </c>
    </row>
    <row r="84" customFormat="false" ht="11.25" hidden="false" customHeight="true" outlineLevel="0" collapsed="false">
      <c r="A84" s="53" t="s">
        <v>14</v>
      </c>
      <c r="B84" s="53" t="s">
        <v>108</v>
      </c>
      <c r="C84" s="53" t="s">
        <v>3733</v>
      </c>
      <c r="D84" s="53" t="s">
        <v>109</v>
      </c>
      <c r="E84" s="53" t="s">
        <v>110</v>
      </c>
      <c r="F84" s="53" t="s">
        <v>3591</v>
      </c>
      <c r="G84" s="53" t="s">
        <v>107</v>
      </c>
    </row>
    <row r="85" customFormat="false" ht="11.25" hidden="false" customHeight="true" outlineLevel="0" collapsed="false">
      <c r="A85" s="53" t="s">
        <v>14</v>
      </c>
      <c r="B85" s="53" t="s">
        <v>108</v>
      </c>
      <c r="C85" s="53" t="s">
        <v>3733</v>
      </c>
      <c r="D85" s="53" t="s">
        <v>3737</v>
      </c>
      <c r="E85" s="53" t="s">
        <v>3738</v>
      </c>
      <c r="F85" s="53" t="s">
        <v>3559</v>
      </c>
      <c r="G85" s="53" t="s">
        <v>3739</v>
      </c>
    </row>
    <row r="86" customFormat="false" ht="11.25" hidden="false" customHeight="true" outlineLevel="0" collapsed="false">
      <c r="A86" s="53" t="s">
        <v>14</v>
      </c>
      <c r="B86" s="53" t="s">
        <v>108</v>
      </c>
      <c r="C86" s="53" t="s">
        <v>3733</v>
      </c>
      <c r="D86" s="53" t="s">
        <v>3740</v>
      </c>
      <c r="E86" s="53" t="s">
        <v>3741</v>
      </c>
      <c r="F86" s="53" t="s">
        <v>3559</v>
      </c>
      <c r="G86" s="53" t="s">
        <v>3742</v>
      </c>
    </row>
    <row r="87" customFormat="false" ht="11.25" hidden="false" customHeight="true" outlineLevel="0" collapsed="false">
      <c r="A87" s="53" t="s">
        <v>14</v>
      </c>
      <c r="B87" s="53" t="s">
        <v>108</v>
      </c>
      <c r="C87" s="53" t="s">
        <v>3733</v>
      </c>
      <c r="D87" s="53" t="s">
        <v>3743</v>
      </c>
      <c r="E87" s="53" t="s">
        <v>3744</v>
      </c>
      <c r="F87" s="53" t="s">
        <v>3559</v>
      </c>
      <c r="G87" s="53" t="s">
        <v>3745</v>
      </c>
    </row>
    <row r="88" customFormat="false" ht="11.25" hidden="false" customHeight="true" outlineLevel="0" collapsed="false">
      <c r="A88" s="53" t="s">
        <v>14</v>
      </c>
      <c r="B88" s="53" t="s">
        <v>108</v>
      </c>
      <c r="C88" s="53" t="s">
        <v>3733</v>
      </c>
      <c r="D88" s="53" t="s">
        <v>108</v>
      </c>
      <c r="E88" s="53" t="s">
        <v>3733</v>
      </c>
      <c r="F88" s="53" t="s">
        <v>3560</v>
      </c>
      <c r="G88" s="53" t="s">
        <v>3746</v>
      </c>
    </row>
    <row r="89" customFormat="false" ht="11.25" hidden="false" customHeight="true" outlineLevel="0" collapsed="false">
      <c r="A89" s="53" t="s">
        <v>14</v>
      </c>
      <c r="B89" s="53" t="s">
        <v>108</v>
      </c>
      <c r="C89" s="53" t="s">
        <v>3733</v>
      </c>
      <c r="D89" s="53" t="s">
        <v>3747</v>
      </c>
      <c r="E89" s="53" t="s">
        <v>3748</v>
      </c>
      <c r="F89" s="53" t="s">
        <v>3559</v>
      </c>
      <c r="G89" s="53" t="s">
        <v>3749</v>
      </c>
    </row>
    <row r="90" customFormat="false" ht="11.25" hidden="false" customHeight="true" outlineLevel="0" collapsed="false">
      <c r="A90" s="53" t="s">
        <v>14</v>
      </c>
      <c r="B90" s="53" t="s">
        <v>3750</v>
      </c>
      <c r="C90" s="53" t="s">
        <v>3751</v>
      </c>
      <c r="D90" s="53" t="s">
        <v>3752</v>
      </c>
      <c r="E90" s="53" t="s">
        <v>3753</v>
      </c>
      <c r="F90" s="53" t="s">
        <v>3648</v>
      </c>
      <c r="G90" s="53" t="s">
        <v>3754</v>
      </c>
    </row>
    <row r="91" customFormat="false" ht="11.25" hidden="false" customHeight="true" outlineLevel="0" collapsed="false">
      <c r="A91" s="53" t="s">
        <v>14</v>
      </c>
      <c r="B91" s="53" t="s">
        <v>3750</v>
      </c>
      <c r="C91" s="53" t="s">
        <v>3751</v>
      </c>
      <c r="D91" s="53" t="s">
        <v>3755</v>
      </c>
      <c r="E91" s="53" t="s">
        <v>3756</v>
      </c>
      <c r="F91" s="53" t="s">
        <v>3559</v>
      </c>
      <c r="G91" s="53" t="s">
        <v>3757</v>
      </c>
    </row>
    <row r="92" customFormat="false" ht="11.25" hidden="false" customHeight="true" outlineLevel="0" collapsed="false">
      <c r="A92" s="53" t="s">
        <v>14</v>
      </c>
      <c r="B92" s="53" t="s">
        <v>3750</v>
      </c>
      <c r="C92" s="53" t="s">
        <v>3751</v>
      </c>
      <c r="D92" s="53" t="s">
        <v>3758</v>
      </c>
      <c r="E92" s="53" t="s">
        <v>3759</v>
      </c>
      <c r="F92" s="53" t="s">
        <v>3559</v>
      </c>
      <c r="G92" s="53" t="s">
        <v>3760</v>
      </c>
    </row>
    <row r="93" customFormat="false" ht="11.25" hidden="false" customHeight="true" outlineLevel="0" collapsed="false">
      <c r="A93" s="53" t="s">
        <v>14</v>
      </c>
      <c r="B93" s="53" t="s">
        <v>3750</v>
      </c>
      <c r="C93" s="53" t="s">
        <v>3751</v>
      </c>
      <c r="D93" s="53" t="s">
        <v>3761</v>
      </c>
      <c r="E93" s="53" t="s">
        <v>3762</v>
      </c>
      <c r="F93" s="53" t="s">
        <v>3559</v>
      </c>
      <c r="G93" s="53" t="s">
        <v>3763</v>
      </c>
    </row>
    <row r="94" customFormat="false" ht="11.25" hidden="false" customHeight="true" outlineLevel="0" collapsed="false">
      <c r="A94" s="53" t="s">
        <v>14</v>
      </c>
      <c r="B94" s="53" t="s">
        <v>3750</v>
      </c>
      <c r="C94" s="53" t="s">
        <v>3751</v>
      </c>
      <c r="D94" s="53" t="s">
        <v>3764</v>
      </c>
      <c r="E94" s="53" t="s">
        <v>3765</v>
      </c>
      <c r="F94" s="53" t="s">
        <v>3559</v>
      </c>
      <c r="G94" s="53" t="s">
        <v>3766</v>
      </c>
    </row>
    <row r="95" customFormat="false" ht="11.25" hidden="false" customHeight="true" outlineLevel="0" collapsed="false">
      <c r="A95" s="53" t="s">
        <v>14</v>
      </c>
      <c r="B95" s="53" t="s">
        <v>3750</v>
      </c>
      <c r="C95" s="53" t="s">
        <v>3751</v>
      </c>
      <c r="D95" s="53" t="s">
        <v>3767</v>
      </c>
      <c r="E95" s="53" t="s">
        <v>3768</v>
      </c>
      <c r="F95" s="53" t="s">
        <v>3559</v>
      </c>
      <c r="G95" s="53" t="s">
        <v>3769</v>
      </c>
    </row>
    <row r="96" customFormat="false" ht="11.25" hidden="false" customHeight="true" outlineLevel="0" collapsed="false">
      <c r="A96" s="53" t="s">
        <v>14</v>
      </c>
      <c r="B96" s="53" t="s">
        <v>3750</v>
      </c>
      <c r="C96" s="53" t="s">
        <v>3751</v>
      </c>
      <c r="D96" s="53" t="s">
        <v>3642</v>
      </c>
      <c r="E96" s="53" t="s">
        <v>3770</v>
      </c>
      <c r="F96" s="53" t="s">
        <v>3559</v>
      </c>
      <c r="G96" s="53" t="s">
        <v>3771</v>
      </c>
    </row>
    <row r="97" customFormat="false" ht="11.25" hidden="false" customHeight="true" outlineLevel="0" collapsed="false">
      <c r="A97" s="53" t="s">
        <v>14</v>
      </c>
      <c r="B97" s="53" t="s">
        <v>3750</v>
      </c>
      <c r="C97" s="53" t="s">
        <v>3751</v>
      </c>
      <c r="D97" s="53" t="s">
        <v>3772</v>
      </c>
      <c r="E97" s="53" t="s">
        <v>3773</v>
      </c>
      <c r="F97" s="53" t="s">
        <v>3559</v>
      </c>
      <c r="G97" s="53" t="s">
        <v>3774</v>
      </c>
    </row>
    <row r="98" customFormat="false" ht="11.25" hidden="false" customHeight="true" outlineLevel="0" collapsed="false">
      <c r="A98" s="53" t="s">
        <v>14</v>
      </c>
      <c r="B98" s="53" t="s">
        <v>3750</v>
      </c>
      <c r="C98" s="53" t="s">
        <v>3751</v>
      </c>
      <c r="D98" s="53" t="s">
        <v>3750</v>
      </c>
      <c r="E98" s="53" t="s">
        <v>3751</v>
      </c>
      <c r="F98" s="53" t="s">
        <v>3560</v>
      </c>
      <c r="G98" s="53" t="s">
        <v>3775</v>
      </c>
    </row>
    <row r="99" customFormat="false" ht="11.25" hidden="false" customHeight="true" outlineLevel="0" collapsed="false">
      <c r="A99" s="53" t="s">
        <v>14</v>
      </c>
      <c r="B99" s="53" t="s">
        <v>3776</v>
      </c>
      <c r="C99" s="53" t="s">
        <v>3777</v>
      </c>
      <c r="D99" s="53" t="s">
        <v>3776</v>
      </c>
      <c r="E99" s="53" t="s">
        <v>3777</v>
      </c>
      <c r="F99" s="53" t="s">
        <v>3778</v>
      </c>
      <c r="G99" s="53" t="s">
        <v>3779</v>
      </c>
    </row>
    <row r="100" customFormat="false" ht="11.25" hidden="false" customHeight="true" outlineLevel="0" collapsed="false">
      <c r="A100" s="53" t="s">
        <v>14</v>
      </c>
      <c r="B100" s="53" t="s">
        <v>3780</v>
      </c>
      <c r="C100" s="53" t="s">
        <v>3781</v>
      </c>
      <c r="D100" s="53" t="s">
        <v>3780</v>
      </c>
      <c r="E100" s="53" t="s">
        <v>3781</v>
      </c>
      <c r="F100" s="53" t="s">
        <v>3778</v>
      </c>
      <c r="G100" s="53" t="s">
        <v>3782</v>
      </c>
    </row>
    <row r="101" customFormat="false" ht="11.25" hidden="false" customHeight="true" outlineLevel="0" collapsed="false">
      <c r="A101" s="53" t="s">
        <v>14</v>
      </c>
      <c r="B101" s="53" t="s">
        <v>96</v>
      </c>
      <c r="C101" s="53" t="s">
        <v>97</v>
      </c>
      <c r="D101" s="53" t="s">
        <v>96</v>
      </c>
      <c r="E101" s="53" t="s">
        <v>97</v>
      </c>
      <c r="F101" s="53" t="s">
        <v>3778</v>
      </c>
      <c r="G101" s="53" t="s">
        <v>95</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false" outlineLevel="0" max="1" min="1" style="666" width="9.14"/>
    <col collapsed="false" customWidth="true" hidden="false" outlineLevel="0" max="2" min="2" style="666" width="84.28"/>
    <col collapsed="false" customWidth="false" hidden="false" outlineLevel="0" max="3" min="3" style="666" width="9.14"/>
  </cols>
  <sheetData>
    <row r="1" customFormat="false" ht="11.25" hidden="false" customHeight="true" outlineLevel="0" collapsed="false">
      <c r="A1" s="666" t="s">
        <v>3802</v>
      </c>
      <c r="B1" s="666" t="s">
        <v>3803</v>
      </c>
      <c r="C1" s="666" t="s">
        <v>1102</v>
      </c>
    </row>
    <row r="2" customFormat="false" ht="11.25" hidden="false" customHeight="true" outlineLevel="0" collapsed="false">
      <c r="A2" s="666" t="n">
        <v>4189678</v>
      </c>
      <c r="B2" s="666" t="s">
        <v>3804</v>
      </c>
      <c r="C2" s="666" t="s">
        <v>3805</v>
      </c>
    </row>
    <row r="3" customFormat="false" ht="11.25" hidden="false" customHeight="true" outlineLevel="0" collapsed="false">
      <c r="A3" s="666" t="n">
        <v>4190415</v>
      </c>
      <c r="B3" s="666" t="s">
        <v>3806</v>
      </c>
      <c r="C3" s="666" t="s">
        <v>3805</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5" zeroHeight="false" outlineLevelRow="0" outlineLevelCol="0"/>
  <cols>
    <col collapsed="false" customWidth="true" hidden="false" outlineLevel="0" max="1" min="1" style="1197" width="38.42"/>
    <col collapsed="false" customWidth="false" hidden="false" outlineLevel="0" max="5" min="2" style="1197" width="9.14"/>
  </cols>
  <sheetData>
    <row r="1" customFormat="false" ht="15" hidden="false" customHeight="true" outlineLevel="0" collapsed="false">
      <c r="A1" s="1198" t="s">
        <v>3807</v>
      </c>
      <c r="B1" s="1198" t="s">
        <v>3808</v>
      </c>
      <c r="C1" s="1198"/>
      <c r="D1" s="1198"/>
      <c r="E1" s="1198"/>
    </row>
    <row r="2" customFormat="false" ht="15" hidden="false" customHeight="true" outlineLevel="0" collapsed="false">
      <c r="A2" s="1198"/>
      <c r="B2" s="1198"/>
      <c r="C2" s="1198"/>
      <c r="D2" s="1198"/>
      <c r="E2" s="1198"/>
    </row>
    <row r="3" customFormat="false" ht="15" hidden="false" customHeight="true" outlineLevel="0" collapsed="false">
      <c r="A3" s="1198"/>
      <c r="B3" s="1198"/>
      <c r="C3" s="1198"/>
      <c r="D3" s="1198"/>
      <c r="E3" s="1198"/>
    </row>
    <row r="4" customFormat="false" ht="15" hidden="false" customHeight="true" outlineLevel="0" collapsed="false">
      <c r="A4" s="1198"/>
      <c r="B4" s="1198"/>
      <c r="C4" s="1198"/>
      <c r="D4" s="1198"/>
      <c r="E4" s="1198"/>
    </row>
    <row r="5" customFormat="false" ht="15" hidden="false" customHeight="true" outlineLevel="0" collapsed="false">
      <c r="A5" s="1198"/>
      <c r="B5" s="1198"/>
      <c r="C5" s="1198"/>
      <c r="D5" s="1198"/>
      <c r="E5" s="1198"/>
    </row>
    <row r="6" customFormat="false" ht="15" hidden="false" customHeight="true" outlineLevel="0" collapsed="false">
      <c r="A6" s="1198"/>
      <c r="B6" s="1198"/>
      <c r="C6" s="1198"/>
      <c r="D6" s="1198"/>
      <c r="E6" s="1198"/>
    </row>
    <row r="7" customFormat="false" ht="15" hidden="false" customHeight="true" outlineLevel="0" collapsed="false">
      <c r="A7" s="1198"/>
      <c r="B7" s="1198"/>
      <c r="C7" s="1198"/>
      <c r="D7" s="1198"/>
      <c r="E7" s="1198"/>
    </row>
    <row r="8" customFormat="false" ht="15" hidden="false" customHeight="true" outlineLevel="0" collapsed="false">
      <c r="A8" s="1198"/>
      <c r="B8" s="1198"/>
      <c r="C8" s="1198"/>
      <c r="D8" s="1198"/>
      <c r="E8" s="1198"/>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row r="1" customFormat="false" ht="11.25" hidden="false" customHeight="true" outlineLevel="0" collapsed="false">
      <c r="A1" s="53" t="s">
        <v>3809</v>
      </c>
      <c r="B1" s="53" t="n">
        <f aca="false">TRUE()</f>
        <v>1</v>
      </c>
    </row>
    <row r="2" customFormat="false" ht="11.25" hidden="false" customHeight="true" outlineLevel="0" collapsed="false">
      <c r="A2" s="53" t="s">
        <v>3810</v>
      </c>
      <c r="B2" s="53" t="n">
        <f aca="false">FALSE()</f>
        <v>0</v>
      </c>
    </row>
    <row r="3" customFormat="false" ht="11.25" hidden="false" customHeight="true" outlineLevel="0" collapsed="false">
      <c r="A3" s="53" t="s">
        <v>3811</v>
      </c>
      <c r="B3" s="53" t="n">
        <f aca="false">FALSE()</f>
        <v>0</v>
      </c>
    </row>
    <row r="4" customFormat="false" ht="11.25" hidden="false" customHeight="true" outlineLevel="0" collapsed="false">
      <c r="A4" s="53" t="s">
        <v>3812</v>
      </c>
      <c r="B4" s="53" t="n">
        <f aca="false">FALSE()</f>
        <v>0</v>
      </c>
    </row>
    <row r="5" customFormat="false" ht="11.25" hidden="false" customHeight="true" outlineLevel="0" collapsed="false">
      <c r="A5" s="53" t="s">
        <v>3813</v>
      </c>
      <c r="B5" s="53" t="n">
        <f aca="false">FALSE()</f>
        <v>0</v>
      </c>
    </row>
    <row r="6" customFormat="false" ht="11.25" hidden="false" customHeight="true" outlineLevel="0" collapsed="false">
      <c r="A6" s="53" t="s">
        <v>3814</v>
      </c>
      <c r="B6" s="53" t="n">
        <f aca="false">TRUE()</f>
        <v>1</v>
      </c>
    </row>
    <row r="7" customFormat="false" ht="11.25" hidden="false" customHeight="true" outlineLevel="0" collapsed="false">
      <c r="A7" s="53" t="s">
        <v>3815</v>
      </c>
      <c r="B7" s="53" t="n">
        <f aca="false">FALSE()</f>
        <v>0</v>
      </c>
    </row>
    <row r="8" customFormat="false" ht="11.25" hidden="false" customHeight="true" outlineLevel="0" collapsed="false">
      <c r="A8" s="53" t="s">
        <v>3816</v>
      </c>
      <c r="B8" s="53" t="n">
        <f aca="false">FALSE()</f>
        <v>0</v>
      </c>
    </row>
    <row r="9" customFormat="false" ht="11.25" hidden="false" customHeight="true" outlineLevel="0" collapsed="false">
      <c r="A9" s="53" t="s">
        <v>3817</v>
      </c>
      <c r="B9" s="53" t="n">
        <f aca="false">TRUE()</f>
        <v>1</v>
      </c>
    </row>
    <row r="10" customFormat="false" ht="11.25" hidden="false" customHeight="true" outlineLevel="0" collapsed="false">
      <c r="A10" s="53" t="s">
        <v>3818</v>
      </c>
      <c r="B10" s="53" t="n">
        <f aca="false">FALSE()</f>
        <v>0</v>
      </c>
    </row>
    <row r="11" customFormat="false" ht="11.25" hidden="false" customHeight="true" outlineLevel="0" collapsed="false">
      <c r="A11" s="53" t="s">
        <v>3819</v>
      </c>
      <c r="B11" s="53" t="n">
        <f aca="false">FALSE()</f>
        <v>0</v>
      </c>
    </row>
    <row r="12" customFormat="false" ht="11.25" hidden="false" customHeight="true" outlineLevel="0" collapsed="false">
      <c r="A12" s="53" t="s">
        <v>3820</v>
      </c>
      <c r="B12" s="53" t="n">
        <f aca="false">FALSE()</f>
        <v>0</v>
      </c>
    </row>
    <row r="13" customFormat="false" ht="11.25" hidden="false" customHeight="true" outlineLevel="0" collapsed="false">
      <c r="A13" s="53" t="s">
        <v>3821</v>
      </c>
      <c r="B13" s="53" t="n">
        <f aca="false">FALSE()</f>
        <v>0</v>
      </c>
    </row>
    <row r="14" customFormat="false" ht="11.25" hidden="false" customHeight="true" outlineLevel="0" collapsed="false">
      <c r="A14" s="53" t="s">
        <v>3822</v>
      </c>
      <c r="B14" s="53" t="n">
        <f aca="false">FALSE()</f>
        <v>0</v>
      </c>
    </row>
    <row r="15" customFormat="false" ht="11.25" hidden="false" customHeight="true" outlineLevel="0" collapsed="false">
      <c r="A15" s="53" t="s">
        <v>3823</v>
      </c>
      <c r="B15" s="53"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2.75" zeroHeight="false" outlineLevelRow="0" outlineLevelCol="0"/>
  <cols>
    <col collapsed="false" customWidth="false" hidden="false" outlineLevel="0" max="1" min="1" style="1" width="9.14"/>
  </cols>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5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true" hidden="false" outlineLevel="0" max="1" min="1" style="53" width="36.28"/>
    <col collapsed="false" customWidth="true" hidden="false" outlineLevel="0" max="2" min="2" style="53" width="21.14"/>
  </cols>
  <sheetData>
    <row r="1" customFormat="false" ht="11.25" hidden="false" customHeight="true" outlineLevel="0" collapsed="false">
      <c r="A1" s="1199" t="s">
        <v>3824</v>
      </c>
      <c r="B1" s="1199" t="s">
        <v>3825</v>
      </c>
    </row>
    <row r="2" customFormat="false" ht="11.25" hidden="false" customHeight="true" outlineLevel="0" collapsed="false">
      <c r="A2" s="173" t="s">
        <v>3826</v>
      </c>
      <c r="B2" s="173" t="s">
        <v>3827</v>
      </c>
    </row>
    <row r="3" customFormat="false" ht="11.25" hidden="false" customHeight="true" outlineLevel="0" collapsed="false">
      <c r="A3" s="173" t="s">
        <v>3828</v>
      </c>
      <c r="B3" s="173" t="s">
        <v>3829</v>
      </c>
    </row>
    <row r="4" customFormat="false" ht="11.25" hidden="false" customHeight="true" outlineLevel="0" collapsed="false">
      <c r="A4" s="173" t="s">
        <v>3830</v>
      </c>
      <c r="B4" s="173" t="s">
        <v>3831</v>
      </c>
    </row>
    <row r="5" customFormat="false" ht="11.25" hidden="false" customHeight="true" outlineLevel="0" collapsed="false">
      <c r="A5" s="173" t="s">
        <v>3832</v>
      </c>
      <c r="B5" s="173" t="s">
        <v>3833</v>
      </c>
    </row>
    <row r="6" customFormat="false" ht="11.25" hidden="false" customHeight="true" outlineLevel="0" collapsed="false">
      <c r="A6" s="173" t="s">
        <v>3834</v>
      </c>
      <c r="B6" s="173" t="s">
        <v>3835</v>
      </c>
    </row>
    <row r="7" customFormat="false" ht="11.25" hidden="false" customHeight="true" outlineLevel="0" collapsed="false">
      <c r="A7" s="173" t="s">
        <v>3836</v>
      </c>
      <c r="B7" s="173" t="s">
        <v>3837</v>
      </c>
    </row>
    <row r="8" customFormat="false" ht="11.25" hidden="false" customHeight="true" outlineLevel="0" collapsed="false">
      <c r="A8" s="173" t="s">
        <v>3838</v>
      </c>
      <c r="B8" s="173" t="s">
        <v>3839</v>
      </c>
    </row>
    <row r="9" customFormat="false" ht="11.25" hidden="false" customHeight="true" outlineLevel="0" collapsed="false">
      <c r="A9" s="173" t="s">
        <v>3840</v>
      </c>
      <c r="B9" s="173" t="s">
        <v>3841</v>
      </c>
    </row>
    <row r="10" customFormat="false" ht="11.25" hidden="false" customHeight="true" outlineLevel="0" collapsed="false">
      <c r="A10" s="173" t="s">
        <v>3842</v>
      </c>
      <c r="B10" s="173" t="s">
        <v>3843</v>
      </c>
    </row>
    <row r="11" customFormat="false" ht="11.25" hidden="false" customHeight="true" outlineLevel="0" collapsed="false">
      <c r="A11" s="173" t="s">
        <v>3844</v>
      </c>
      <c r="B11" s="173" t="s">
        <v>3845</v>
      </c>
    </row>
    <row r="12" customFormat="false" ht="11.25" hidden="false" customHeight="true" outlineLevel="0" collapsed="false">
      <c r="A12" s="173" t="s">
        <v>3846</v>
      </c>
      <c r="B12" s="173" t="s">
        <v>3847</v>
      </c>
    </row>
    <row r="13" customFormat="false" ht="11.25" hidden="false" customHeight="true" outlineLevel="0" collapsed="false">
      <c r="A13" s="173" t="s">
        <v>3848</v>
      </c>
      <c r="B13" s="173" t="s">
        <v>3849</v>
      </c>
    </row>
    <row r="14" customFormat="false" ht="11.25" hidden="false" customHeight="true" outlineLevel="0" collapsed="false">
      <c r="A14" s="173" t="s">
        <v>3850</v>
      </c>
      <c r="B14" s="173" t="s">
        <v>3851</v>
      </c>
    </row>
    <row r="15" customFormat="false" ht="11.25" hidden="false" customHeight="true" outlineLevel="0" collapsed="false">
      <c r="A15" s="173" t="s">
        <v>3852</v>
      </c>
      <c r="B15" s="173" t="s">
        <v>3853</v>
      </c>
    </row>
    <row r="16" customFormat="false" ht="11.25" hidden="false" customHeight="true" outlineLevel="0" collapsed="false">
      <c r="A16" s="173" t="s">
        <v>3854</v>
      </c>
      <c r="B16" s="173" t="s">
        <v>3855</v>
      </c>
    </row>
    <row r="17" customFormat="false" ht="11.25" hidden="false" customHeight="true" outlineLevel="0" collapsed="false">
      <c r="A17" s="173" t="s">
        <v>3856</v>
      </c>
      <c r="B17" s="173" t="s">
        <v>3857</v>
      </c>
    </row>
    <row r="18" customFormat="false" ht="11.25" hidden="false" customHeight="true" outlineLevel="0" collapsed="false">
      <c r="A18" s="173" t="s">
        <v>3858</v>
      </c>
      <c r="B18" s="173" t="s">
        <v>3859</v>
      </c>
    </row>
    <row r="19" customFormat="false" ht="11.25" hidden="false" customHeight="true" outlineLevel="0" collapsed="false">
      <c r="A19" s="173" t="s">
        <v>3860</v>
      </c>
      <c r="B19" s="173" t="s">
        <v>3861</v>
      </c>
    </row>
    <row r="20" customFormat="false" ht="11.25" hidden="false" customHeight="true" outlineLevel="0" collapsed="false">
      <c r="A20" s="173" t="s">
        <v>3862</v>
      </c>
      <c r="B20" s="173" t="s">
        <v>3863</v>
      </c>
    </row>
    <row r="21" customFormat="false" ht="11.25" hidden="false" customHeight="true" outlineLevel="0" collapsed="false">
      <c r="A21" s="173" t="s">
        <v>3864</v>
      </c>
      <c r="B21" s="173" t="s">
        <v>3865</v>
      </c>
    </row>
    <row r="22" customFormat="false" ht="11.25" hidden="false" customHeight="true" outlineLevel="0" collapsed="false">
      <c r="A22" s="173" t="s">
        <v>3866</v>
      </c>
      <c r="B22" s="173" t="s">
        <v>3867</v>
      </c>
    </row>
    <row r="23" customFormat="false" ht="11.25" hidden="false" customHeight="true" outlineLevel="0" collapsed="false">
      <c r="A23" s="173" t="s">
        <v>3868</v>
      </c>
      <c r="B23" s="173" t="s">
        <v>3869</v>
      </c>
    </row>
    <row r="24" customFormat="false" ht="11.25" hidden="false" customHeight="true" outlineLevel="0" collapsed="false">
      <c r="A24" s="173" t="s">
        <v>3870</v>
      </c>
      <c r="B24" s="173" t="s">
        <v>3871</v>
      </c>
    </row>
    <row r="25" customFormat="false" ht="11.25" hidden="false" customHeight="true" outlineLevel="0" collapsed="false">
      <c r="A25" s="173" t="s">
        <v>3872</v>
      </c>
      <c r="B25" s="173" t="s">
        <v>3873</v>
      </c>
    </row>
    <row r="26" customFormat="false" ht="11.25" hidden="false" customHeight="true" outlineLevel="0" collapsed="false">
      <c r="A26" s="173" t="s">
        <v>3874</v>
      </c>
      <c r="B26" s="173" t="s">
        <v>3875</v>
      </c>
    </row>
    <row r="27" customFormat="false" ht="11.25" hidden="false" customHeight="true" outlineLevel="0" collapsed="false">
      <c r="A27" s="173" t="s">
        <v>3876</v>
      </c>
      <c r="B27" s="173" t="s">
        <v>3877</v>
      </c>
    </row>
    <row r="28" customFormat="false" ht="11.25" hidden="false" customHeight="true" outlineLevel="0" collapsed="false">
      <c r="A28" s="173" t="s">
        <v>3878</v>
      </c>
      <c r="B28" s="173" t="s">
        <v>3879</v>
      </c>
    </row>
    <row r="29" customFormat="false" ht="11.25" hidden="false" customHeight="true" outlineLevel="0" collapsed="false">
      <c r="A29" s="173" t="s">
        <v>3880</v>
      </c>
      <c r="B29" s="173" t="s">
        <v>3881</v>
      </c>
    </row>
    <row r="30" customFormat="false" ht="11.25" hidden="false" customHeight="true" outlineLevel="0" collapsed="false">
      <c r="A30" s="173" t="s">
        <v>3882</v>
      </c>
      <c r="B30" s="173" t="s">
        <v>3883</v>
      </c>
    </row>
    <row r="31" customFormat="false" ht="11.25" hidden="false" customHeight="true" outlineLevel="0" collapsed="false">
      <c r="A31" s="173" t="s">
        <v>3884</v>
      </c>
      <c r="B31" s="173" t="s">
        <v>3885</v>
      </c>
    </row>
    <row r="32" customFormat="false" ht="11.25" hidden="false" customHeight="true" outlineLevel="0" collapsed="false">
      <c r="A32" s="173" t="s">
        <v>3886</v>
      </c>
      <c r="B32" s="173" t="s">
        <v>3887</v>
      </c>
    </row>
    <row r="33" customFormat="false" ht="11.25" hidden="false" customHeight="true" outlineLevel="0" collapsed="false">
      <c r="A33" s="173" t="s">
        <v>3888</v>
      </c>
      <c r="B33" s="173" t="s">
        <v>3889</v>
      </c>
    </row>
    <row r="34" customFormat="false" ht="11.25" hidden="false" customHeight="true" outlineLevel="0" collapsed="false">
      <c r="A34" s="173" t="s">
        <v>3890</v>
      </c>
      <c r="B34" s="173" t="s">
        <v>3891</v>
      </c>
    </row>
    <row r="35" customFormat="false" ht="11.25" hidden="false" customHeight="true" outlineLevel="0" collapsed="false">
      <c r="A35" s="173" t="s">
        <v>3892</v>
      </c>
      <c r="B35" s="173" t="s">
        <v>3893</v>
      </c>
    </row>
    <row r="36" customFormat="false" ht="11.25" hidden="false" customHeight="true" outlineLevel="0" collapsed="false">
      <c r="A36" s="173" t="s">
        <v>3894</v>
      </c>
      <c r="B36" s="173" t="s">
        <v>3895</v>
      </c>
    </row>
    <row r="37" customFormat="false" ht="11.25" hidden="false" customHeight="true" outlineLevel="0" collapsed="false">
      <c r="A37" s="173" t="s">
        <v>3896</v>
      </c>
      <c r="B37" s="173" t="s">
        <v>3897</v>
      </c>
    </row>
    <row r="38" customFormat="false" ht="11.25" hidden="false" customHeight="true" outlineLevel="0" collapsed="false">
      <c r="A38" s="173" t="s">
        <v>3898</v>
      </c>
      <c r="B38" s="173" t="s">
        <v>3899</v>
      </c>
    </row>
    <row r="39" customFormat="false" ht="11.25" hidden="false" customHeight="true" outlineLevel="0" collapsed="false">
      <c r="A39" s="173" t="s">
        <v>3900</v>
      </c>
      <c r="B39" s="173" t="s">
        <v>3901</v>
      </c>
    </row>
    <row r="40" customFormat="false" ht="11.25" hidden="false" customHeight="true" outlineLevel="0" collapsed="false">
      <c r="A40" s="173" t="s">
        <v>3902</v>
      </c>
      <c r="B40" s="173" t="s">
        <v>3903</v>
      </c>
    </row>
    <row r="41" customFormat="false" ht="11.25" hidden="false" customHeight="true" outlineLevel="0" collapsed="false">
      <c r="A41" s="173" t="s">
        <v>3904</v>
      </c>
      <c r="B41" s="173" t="s">
        <v>3905</v>
      </c>
    </row>
    <row r="42" customFormat="false" ht="11.25" hidden="false" customHeight="true" outlineLevel="0" collapsed="false">
      <c r="A42" s="173" t="s">
        <v>3906</v>
      </c>
      <c r="B42" s="173" t="s">
        <v>3907</v>
      </c>
    </row>
    <row r="43" customFormat="false" ht="11.25" hidden="false" customHeight="true" outlineLevel="0" collapsed="false">
      <c r="A43" s="173" t="s">
        <v>3908</v>
      </c>
      <c r="B43" s="173" t="s">
        <v>3909</v>
      </c>
    </row>
    <row r="44" customFormat="false" ht="11.25" hidden="false" customHeight="true" outlineLevel="0" collapsed="false">
      <c r="A44" s="173" t="s">
        <v>3910</v>
      </c>
      <c r="B44" s="173" t="s">
        <v>3911</v>
      </c>
    </row>
    <row r="45" customFormat="false" ht="11.25" hidden="false" customHeight="true" outlineLevel="0" collapsed="false">
      <c r="A45" s="173" t="s">
        <v>3912</v>
      </c>
      <c r="B45" s="173" t="s">
        <v>3913</v>
      </c>
    </row>
    <row r="46" customFormat="false" ht="11.25" hidden="false" customHeight="true" outlineLevel="0" collapsed="false">
      <c r="A46" s="173" t="s">
        <v>3914</v>
      </c>
      <c r="B46" s="173" t="s">
        <v>3915</v>
      </c>
    </row>
    <row r="47" customFormat="false" ht="11.25" hidden="false" customHeight="true" outlineLevel="0" collapsed="false">
      <c r="A47" s="173" t="s">
        <v>3916</v>
      </c>
      <c r="B47" s="173" t="s">
        <v>3917</v>
      </c>
    </row>
    <row r="48" customFormat="false" ht="11.25" hidden="false" customHeight="true" outlineLevel="0" collapsed="false">
      <c r="A48" s="173" t="s">
        <v>3918</v>
      </c>
      <c r="B48" s="173" t="s">
        <v>3919</v>
      </c>
    </row>
    <row r="49" customFormat="false" ht="11.25" hidden="false" customHeight="true" outlineLevel="0" collapsed="false">
      <c r="A49" s="173" t="s">
        <v>3920</v>
      </c>
      <c r="B49" s="173" t="s">
        <v>3921</v>
      </c>
    </row>
    <row r="50" customFormat="false" ht="11.25" hidden="false" customHeight="true" outlineLevel="0" collapsed="false">
      <c r="A50" s="173" t="s">
        <v>3922</v>
      </c>
      <c r="B50" s="173" t="s">
        <v>3923</v>
      </c>
    </row>
    <row r="51" customFormat="false" ht="11.25" hidden="false" customHeight="true" outlineLevel="0" collapsed="false">
      <c r="A51" s="173" t="s">
        <v>3924</v>
      </c>
      <c r="B51" s="173" t="s">
        <v>3925</v>
      </c>
    </row>
    <row r="52" customFormat="false" ht="11.25" hidden="false" customHeight="true" outlineLevel="0" collapsed="false">
      <c r="A52" s="173" t="s">
        <v>3926</v>
      </c>
      <c r="B52" s="173" t="s">
        <v>3927</v>
      </c>
    </row>
    <row r="53" customFormat="false" ht="11.25" hidden="false" customHeight="true" outlineLevel="0" collapsed="false">
      <c r="A53" s="173" t="s">
        <v>3928</v>
      </c>
      <c r="B53" s="173" t="s">
        <v>3929</v>
      </c>
    </row>
    <row r="54" customFormat="false" ht="11.25" hidden="false" customHeight="true" outlineLevel="0" collapsed="false">
      <c r="A54" s="173" t="s">
        <v>3930</v>
      </c>
      <c r="B54" s="173" t="s">
        <v>3931</v>
      </c>
    </row>
    <row r="55" customFormat="false" ht="11.25" hidden="false" customHeight="true" outlineLevel="0" collapsed="false">
      <c r="A55" s="173" t="s">
        <v>3932</v>
      </c>
      <c r="B55" s="173" t="s">
        <v>3933</v>
      </c>
    </row>
    <row r="56" customFormat="false" ht="11.25" hidden="false" customHeight="true" outlineLevel="0" collapsed="false">
      <c r="A56" s="173" t="s">
        <v>3934</v>
      </c>
      <c r="B56" s="173" t="s">
        <v>3935</v>
      </c>
    </row>
    <row r="57" customFormat="false" ht="11.25" hidden="false" customHeight="true" outlineLevel="0" collapsed="false">
      <c r="A57" s="173" t="s">
        <v>3936</v>
      </c>
      <c r="B57" s="173" t="s">
        <v>3937</v>
      </c>
    </row>
    <row r="58" customFormat="false" ht="11.25" hidden="false" customHeight="true" outlineLevel="0" collapsed="false">
      <c r="A58" s="173" t="s">
        <v>3938</v>
      </c>
      <c r="B58" s="173" t="s">
        <v>3939</v>
      </c>
    </row>
    <row r="59" customFormat="false" ht="11.25" hidden="false" customHeight="true" outlineLevel="0" collapsed="false">
      <c r="A59" s="173" t="s">
        <v>3940</v>
      </c>
      <c r="B59" s="173" t="s">
        <v>3941</v>
      </c>
    </row>
    <row r="60" customFormat="false" ht="11.25" hidden="false" customHeight="true" outlineLevel="0" collapsed="false">
      <c r="A60" s="173" t="s">
        <v>3942</v>
      </c>
      <c r="B60" s="173" t="s">
        <v>3943</v>
      </c>
    </row>
    <row r="61" customFormat="false" ht="11.25" hidden="false" customHeight="true" outlineLevel="0" collapsed="false">
      <c r="A61" s="173"/>
      <c r="B61" s="173" t="s">
        <v>3944</v>
      </c>
    </row>
    <row r="62" customFormat="false" ht="11.25" hidden="false" customHeight="true" outlineLevel="0" collapsed="false">
      <c r="A62" s="173"/>
      <c r="B62" s="173" t="s">
        <v>3945</v>
      </c>
    </row>
    <row r="63" customFormat="false" ht="11.25" hidden="false" customHeight="true" outlineLevel="0" collapsed="false">
      <c r="A63" s="173"/>
      <c r="B63" s="173" t="s">
        <v>3946</v>
      </c>
    </row>
    <row r="64" customFormat="false" ht="11.25" hidden="false" customHeight="true" outlineLevel="0" collapsed="false">
      <c r="A64" s="173"/>
      <c r="B64" s="173" t="s">
        <v>3947</v>
      </c>
    </row>
    <row r="65" customFormat="false" ht="11.25" hidden="false" customHeight="true" outlineLevel="0" collapsed="false">
      <c r="A65" s="173"/>
      <c r="B65" s="173" t="s">
        <v>3948</v>
      </c>
    </row>
    <row r="66" customFormat="false" ht="11.25" hidden="false" customHeight="true" outlineLevel="0" collapsed="false">
      <c r="A66" s="173"/>
      <c r="B66" s="173" t="s">
        <v>3949</v>
      </c>
    </row>
    <row r="67" customFormat="false" ht="11.25" hidden="false" customHeight="true" outlineLevel="0" collapsed="false">
      <c r="A67" s="173"/>
      <c r="B67" s="173" t="s">
        <v>3950</v>
      </c>
    </row>
    <row r="68" customFormat="false" ht="11.25" hidden="false" customHeight="true" outlineLevel="0" collapsed="false">
      <c r="A68" s="173"/>
      <c r="B68" s="173" t="s">
        <v>3951</v>
      </c>
    </row>
    <row r="69" customFormat="false" ht="11.25" hidden="false" customHeight="true" outlineLevel="0" collapsed="false">
      <c r="A69" s="173"/>
      <c r="B69" s="173" t="s">
        <v>3952</v>
      </c>
    </row>
    <row r="70" customFormat="false" ht="11.25" hidden="false" customHeight="true" outlineLevel="0" collapsed="false">
      <c r="A70" s="173"/>
      <c r="B70" s="173" t="s">
        <v>3953</v>
      </c>
    </row>
    <row r="71" customFormat="false" ht="11.25" hidden="false" customHeight="true" outlineLevel="0" collapsed="false">
      <c r="A71" s="173"/>
      <c r="B71" s="173"/>
    </row>
    <row r="72" customFormat="false" ht="11.25" hidden="false" customHeight="true" outlineLevel="0" collapsed="false">
      <c r="A72" s="173"/>
      <c r="B72" s="173"/>
    </row>
    <row r="73" customFormat="false" ht="11.25" hidden="false" customHeight="true" outlineLevel="0" collapsed="false">
      <c r="A73" s="173"/>
      <c r="B73" s="173"/>
    </row>
    <row r="74" customFormat="false" ht="11.25" hidden="false" customHeight="true" outlineLevel="0" collapsed="false">
      <c r="A74" s="173"/>
      <c r="B74" s="173"/>
    </row>
    <row r="75" customFormat="false" ht="11.25" hidden="false" customHeight="true" outlineLevel="0" collapsed="false">
      <c r="A75" s="173"/>
      <c r="B75" s="173"/>
    </row>
    <row r="76" customFormat="false" ht="11.25" hidden="false" customHeight="true" outlineLevel="0" collapsed="false">
      <c r="A76" s="173"/>
      <c r="B76" s="173"/>
    </row>
    <row r="77" customFormat="false" ht="11.25" hidden="false" customHeight="true" outlineLevel="0" collapsed="false">
      <c r="A77" s="173"/>
      <c r="B77" s="173"/>
    </row>
    <row r="78" customFormat="false" ht="11.25" hidden="false" customHeight="true" outlineLevel="0" collapsed="false">
      <c r="A78" s="173"/>
      <c r="B78" s="173"/>
    </row>
    <row r="79" customFormat="false" ht="11.25" hidden="false" customHeight="true" outlineLevel="0" collapsed="false">
      <c r="A79" s="173"/>
      <c r="B79" s="173"/>
    </row>
    <row r="80" customFormat="false" ht="11.25" hidden="false" customHeight="true" outlineLevel="0" collapsed="false">
      <c r="A80" s="173"/>
      <c r="B80" s="173"/>
    </row>
    <row r="81" customFormat="false" ht="11.25" hidden="false" customHeight="true" outlineLevel="0" collapsed="false">
      <c r="A81" s="173"/>
      <c r="B81" s="173"/>
    </row>
    <row r="82" customFormat="false" ht="11.25" hidden="false" customHeight="true" outlineLevel="0" collapsed="false">
      <c r="A82" s="173"/>
      <c r="B82" s="173"/>
    </row>
    <row r="83" customFormat="false" ht="11.25" hidden="false" customHeight="true" outlineLevel="0" collapsed="false">
      <c r="A83" s="173"/>
      <c r="B83" s="173"/>
    </row>
    <row r="84" customFormat="false" ht="11.25" hidden="false" customHeight="true" outlineLevel="0" collapsed="false">
      <c r="A84" s="173"/>
      <c r="B84" s="173"/>
    </row>
    <row r="85" customFormat="false" ht="11.25" hidden="false" customHeight="true" outlineLevel="0" collapsed="false">
      <c r="A85" s="173"/>
      <c r="B85" s="173"/>
    </row>
    <row r="86" customFormat="false" ht="11.25" hidden="false" customHeight="true" outlineLevel="0" collapsed="false">
      <c r="A86" s="173"/>
      <c r="B86" s="173"/>
    </row>
    <row r="87" customFormat="false" ht="11.25" hidden="false" customHeight="true" outlineLevel="0" collapsed="false">
      <c r="A87" s="173"/>
      <c r="B87" s="173"/>
    </row>
    <row r="88" customFormat="false" ht="11.25" hidden="false" customHeight="true" outlineLevel="0" collapsed="false">
      <c r="A88" s="173"/>
      <c r="B88" s="173"/>
    </row>
    <row r="89" customFormat="false" ht="11.25" hidden="false" customHeight="true" outlineLevel="0" collapsed="false">
      <c r="A89" s="173"/>
      <c r="B89" s="173"/>
    </row>
    <row r="90" customFormat="false" ht="11.25" hidden="false" customHeight="true" outlineLevel="0" collapsed="false">
      <c r="A90" s="173"/>
      <c r="B90" s="173"/>
    </row>
    <row r="91" customFormat="false" ht="11.25" hidden="false" customHeight="true" outlineLevel="0" collapsed="false">
      <c r="A91" s="173"/>
      <c r="B91" s="173"/>
    </row>
    <row r="92" customFormat="false" ht="11.25" hidden="false" customHeight="true" outlineLevel="0" collapsed="false">
      <c r="A92" s="173"/>
      <c r="B92" s="173"/>
    </row>
    <row r="93" customFormat="false" ht="11.25" hidden="false" customHeight="true" outlineLevel="0" collapsed="false">
      <c r="A93" s="173"/>
      <c r="B93" s="173"/>
    </row>
    <row r="94" customFormat="false" ht="11.25" hidden="false" customHeight="true" outlineLevel="0" collapsed="false">
      <c r="A94" s="173"/>
      <c r="B94" s="173"/>
    </row>
    <row r="95" customFormat="false" ht="11.25" hidden="false" customHeight="true" outlineLevel="0" collapsed="false">
      <c r="A95" s="173"/>
      <c r="B95" s="173"/>
    </row>
    <row r="96" customFormat="false" ht="11.25" hidden="false" customHeight="true" outlineLevel="0" collapsed="false">
      <c r="A96" s="173"/>
      <c r="B96" s="173"/>
    </row>
    <row r="97" customFormat="false" ht="11.25" hidden="false" customHeight="true" outlineLevel="0" collapsed="false">
      <c r="A97" s="173"/>
      <c r="B97" s="173"/>
    </row>
    <row r="98" customFormat="false" ht="11.25" hidden="false" customHeight="true" outlineLevel="0" collapsed="false">
      <c r="A98" s="173"/>
      <c r="B98" s="173"/>
    </row>
    <row r="99" customFormat="false" ht="11.25" hidden="false" customHeight="true" outlineLevel="0" collapsed="false">
      <c r="A99" s="173"/>
      <c r="B99" s="173"/>
    </row>
    <row r="100" customFormat="false" ht="11.25" hidden="false" customHeight="true" outlineLevel="0" collapsed="false">
      <c r="A100" s="173"/>
      <c r="B100" s="173"/>
    </row>
    <row r="101" customFormat="false" ht="11.25" hidden="false" customHeight="true" outlineLevel="0" collapsed="false">
      <c r="A101" s="173"/>
      <c r="B101" s="173"/>
    </row>
    <row r="102" customFormat="false" ht="11.25" hidden="false" customHeight="true" outlineLevel="0" collapsed="false">
      <c r="A102" s="173"/>
      <c r="B102" s="173"/>
    </row>
    <row r="103" customFormat="false" ht="11.25" hidden="false" customHeight="true" outlineLevel="0" collapsed="false">
      <c r="A103" s="173"/>
      <c r="B103" s="173"/>
    </row>
    <row r="104" customFormat="false" ht="11.25" hidden="false" customHeight="true" outlineLevel="0" collapsed="false">
      <c r="A104" s="173"/>
      <c r="B104" s="173"/>
    </row>
    <row r="105" customFormat="false" ht="11.25" hidden="false" customHeight="true" outlineLevel="0" collapsed="false">
      <c r="A105" s="173"/>
      <c r="B105" s="173"/>
    </row>
    <row r="106" customFormat="false" ht="11.25" hidden="false" customHeight="true" outlineLevel="0" collapsed="false">
      <c r="A106" s="173"/>
      <c r="B106" s="173"/>
    </row>
    <row r="107" customFormat="false" ht="11.25" hidden="false" customHeight="true" outlineLevel="0" collapsed="false">
      <c r="A107" s="173"/>
      <c r="B107" s="173"/>
    </row>
    <row r="108" customFormat="false" ht="11.25" hidden="false" customHeight="true" outlineLevel="0" collapsed="false">
      <c r="A108" s="173"/>
      <c r="B108" s="173"/>
    </row>
    <row r="109" customFormat="false" ht="11.25" hidden="false" customHeight="true" outlineLevel="0" collapsed="false">
      <c r="A109" s="173"/>
      <c r="B109" s="173"/>
    </row>
    <row r="110" customFormat="false" ht="11.25" hidden="false" customHeight="true" outlineLevel="0" collapsed="false">
      <c r="A110" s="173"/>
      <c r="B110" s="173"/>
    </row>
    <row r="111" customFormat="false" ht="11.25" hidden="false" customHeight="true" outlineLevel="0" collapsed="false">
      <c r="A111" s="173"/>
      <c r="B111" s="173"/>
    </row>
    <row r="112" customFormat="false" ht="11.25" hidden="false" customHeight="true" outlineLevel="0" collapsed="false">
      <c r="A112" s="173"/>
      <c r="B112" s="173"/>
    </row>
    <row r="113" customFormat="false" ht="11.25" hidden="false" customHeight="true" outlineLevel="0" collapsed="false">
      <c r="A113" s="173"/>
      <c r="B113" s="173"/>
    </row>
    <row r="114" customFormat="false" ht="11.25" hidden="false" customHeight="true" outlineLevel="0" collapsed="false">
      <c r="A114" s="173"/>
      <c r="B114" s="173"/>
    </row>
    <row r="115" customFormat="false" ht="11.25" hidden="false" customHeight="true" outlineLevel="0" collapsed="false">
      <c r="A115" s="173"/>
      <c r="B115" s="173"/>
    </row>
    <row r="116" customFormat="false" ht="11.25" hidden="false" customHeight="true" outlineLevel="0" collapsed="false">
      <c r="A116" s="173"/>
      <c r="B116" s="173"/>
    </row>
    <row r="117" customFormat="false" ht="11.25" hidden="false" customHeight="true" outlineLevel="0" collapsed="false">
      <c r="A117" s="173"/>
      <c r="B117" s="173"/>
    </row>
    <row r="118" customFormat="false" ht="11.25" hidden="false" customHeight="true" outlineLevel="0" collapsed="false">
      <c r="A118" s="173"/>
      <c r="B118" s="173"/>
    </row>
    <row r="119" customFormat="false" ht="11.25" hidden="false" customHeight="true" outlineLevel="0" collapsed="false">
      <c r="A119" s="173"/>
      <c r="B119" s="173"/>
    </row>
    <row r="120" customFormat="false" ht="11.25" hidden="false" customHeight="true" outlineLevel="0" collapsed="false">
      <c r="A120" s="173"/>
      <c r="B120" s="173"/>
    </row>
    <row r="121" customFormat="false" ht="11.25" hidden="false" customHeight="true" outlineLevel="0" collapsed="false">
      <c r="A121" s="173"/>
      <c r="B121" s="173"/>
    </row>
    <row r="122" customFormat="false" ht="11.25" hidden="false" customHeight="true" outlineLevel="0" collapsed="false">
      <c r="A122" s="173"/>
      <c r="B122" s="173"/>
    </row>
    <row r="123" customFormat="false" ht="11.25" hidden="false" customHeight="true" outlineLevel="0" collapsed="false">
      <c r="A123" s="173"/>
      <c r="B123" s="173"/>
    </row>
    <row r="124" customFormat="false" ht="11.25" hidden="false" customHeight="true" outlineLevel="0" collapsed="false">
      <c r="A124" s="173"/>
      <c r="B124" s="173"/>
    </row>
    <row r="125" customFormat="false" ht="11.25" hidden="false" customHeight="true" outlineLevel="0" collapsed="false">
      <c r="A125" s="173"/>
      <c r="B125" s="173"/>
    </row>
    <row r="126" customFormat="false" ht="11.25" hidden="false" customHeight="true" outlineLevel="0" collapsed="false">
      <c r="A126" s="173"/>
      <c r="B126" s="173"/>
    </row>
    <row r="127" customFormat="false" ht="11.25" hidden="false" customHeight="true" outlineLevel="0" collapsed="false">
      <c r="A127" s="173"/>
      <c r="B127" s="173"/>
    </row>
    <row r="128" customFormat="false" ht="11.25" hidden="false" customHeight="true" outlineLevel="0" collapsed="false">
      <c r="A128" s="173"/>
      <c r="B128" s="173"/>
    </row>
    <row r="129" customFormat="false" ht="11.25" hidden="false" customHeight="true" outlineLevel="0" collapsed="false">
      <c r="A129" s="173"/>
      <c r="B129" s="173"/>
    </row>
    <row r="130" customFormat="false" ht="11.25" hidden="false" customHeight="true" outlineLevel="0" collapsed="false">
      <c r="A130" s="173"/>
      <c r="B130" s="173"/>
    </row>
    <row r="131" customFormat="false" ht="11.25" hidden="false" customHeight="true" outlineLevel="0" collapsed="false">
      <c r="A131" s="173"/>
      <c r="B131" s="173"/>
    </row>
    <row r="132" customFormat="false" ht="11.25" hidden="false" customHeight="true" outlineLevel="0" collapsed="false">
      <c r="A132" s="173"/>
      <c r="B132" s="173"/>
    </row>
    <row r="133" customFormat="false" ht="11.25" hidden="false" customHeight="true" outlineLevel="0" collapsed="false">
      <c r="A133" s="173"/>
      <c r="B133" s="173"/>
    </row>
    <row r="134" customFormat="false" ht="11.25" hidden="false" customHeight="true" outlineLevel="0" collapsed="false">
      <c r="A134" s="173"/>
      <c r="B134" s="173"/>
    </row>
    <row r="135" customFormat="false" ht="11.25" hidden="false" customHeight="true" outlineLevel="0" collapsed="false">
      <c r="A135" s="173"/>
      <c r="B135" s="173"/>
    </row>
    <row r="136" customFormat="false" ht="11.25" hidden="false" customHeight="true" outlineLevel="0" collapsed="false">
      <c r="A136" s="173"/>
      <c r="B136" s="173"/>
    </row>
    <row r="137" customFormat="false" ht="11.25" hidden="false" customHeight="true" outlineLevel="0" collapsed="false">
      <c r="A137" s="173"/>
      <c r="B137" s="173"/>
    </row>
    <row r="138" customFormat="false" ht="11.25" hidden="false" customHeight="true" outlineLevel="0" collapsed="false">
      <c r="A138" s="173"/>
      <c r="B138" s="173"/>
    </row>
    <row r="139" customFormat="false" ht="11.25" hidden="false" customHeight="true" outlineLevel="0" collapsed="false">
      <c r="A139" s="173"/>
      <c r="B139" s="173"/>
    </row>
    <row r="140" customFormat="false" ht="11.25" hidden="false" customHeight="true" outlineLevel="0" collapsed="false">
      <c r="A140" s="173"/>
      <c r="B140" s="173"/>
    </row>
    <row r="141" customFormat="false" ht="11.25" hidden="false" customHeight="true" outlineLevel="0" collapsed="false">
      <c r="A141" s="173"/>
      <c r="B141" s="173"/>
    </row>
    <row r="142" customFormat="false" ht="11.25" hidden="false" customHeight="true" outlineLevel="0" collapsed="false">
      <c r="A142" s="173"/>
      <c r="B142" s="173"/>
    </row>
    <row r="143" customFormat="false" ht="11.25" hidden="false" customHeight="true" outlineLevel="0" collapsed="false">
      <c r="A143" s="173"/>
      <c r="B143" s="173"/>
    </row>
    <row r="144" customFormat="false" ht="11.25" hidden="false" customHeight="true" outlineLevel="0" collapsed="false">
      <c r="A144" s="173"/>
      <c r="B144" s="173"/>
    </row>
    <row r="145" customFormat="false" ht="11.25" hidden="false" customHeight="true" outlineLevel="0" collapsed="false">
      <c r="A145" s="173"/>
      <c r="B145" s="173"/>
    </row>
    <row r="146" customFormat="false" ht="11.25" hidden="false" customHeight="true" outlineLevel="0" collapsed="false">
      <c r="A146" s="173"/>
      <c r="B146" s="173"/>
    </row>
    <row r="147" customFormat="false" ht="11.25" hidden="false" customHeight="true" outlineLevel="0" collapsed="false">
      <c r="A147" s="173"/>
      <c r="B147" s="173"/>
    </row>
    <row r="148" customFormat="false" ht="11.25" hidden="false" customHeight="true" outlineLevel="0" collapsed="false">
      <c r="A148" s="173"/>
      <c r="B148" s="173"/>
    </row>
    <row r="149" customFormat="false" ht="11.25" hidden="false" customHeight="true" outlineLevel="0" collapsed="false">
      <c r="A149" s="173"/>
      <c r="B149" s="173"/>
    </row>
    <row r="150" customFormat="false" ht="11.25" hidden="false" customHeight="true" outlineLevel="0" collapsed="false">
      <c r="A150" s="173"/>
      <c r="B150" s="173"/>
    </row>
    <row r="151" customFormat="false" ht="11.25" hidden="false" customHeight="true" outlineLevel="0" collapsed="false">
      <c r="A151" s="173"/>
      <c r="B151" s="173"/>
    </row>
    <row r="152" customFormat="false" ht="11.25" hidden="false" customHeight="true" outlineLevel="0" collapsed="false">
      <c r="A152" s="173"/>
      <c r="B152" s="173"/>
    </row>
    <row r="153" customFormat="false" ht="11.25" hidden="false" customHeight="true" outlineLevel="0" collapsed="false">
      <c r="A153" s="173"/>
      <c r="B153" s="173"/>
    </row>
    <row r="154" customFormat="false" ht="11.25" hidden="false" customHeight="true" outlineLevel="0" collapsed="false">
      <c r="A154" s="173"/>
      <c r="B154" s="173"/>
    </row>
    <row r="155" customFormat="false" ht="11.25" hidden="false" customHeight="true" outlineLevel="0" collapsed="false">
      <c r="A155" s="173"/>
      <c r="B155" s="173"/>
    </row>
    <row r="156" customFormat="false" ht="11.25" hidden="false" customHeight="true" outlineLevel="0" collapsed="false">
      <c r="A156" s="173"/>
      <c r="B156" s="173"/>
    </row>
    <row r="157" customFormat="false" ht="11.25" hidden="false" customHeight="true" outlineLevel="0" collapsed="false">
      <c r="A157" s="173"/>
      <c r="B157" s="173"/>
    </row>
    <row r="158" customFormat="false" ht="11.25" hidden="false" customHeight="true" outlineLevel="0" collapsed="false">
      <c r="A158" s="173"/>
      <c r="B158" s="173"/>
    </row>
    <row r="159" customFormat="false" ht="11.25" hidden="false" customHeight="true" outlineLevel="0" collapsed="false">
      <c r="A159" s="173"/>
      <c r="B159" s="173"/>
    </row>
    <row r="160" customFormat="false" ht="11.25" hidden="false" customHeight="true" outlineLevel="0" collapsed="false">
      <c r="A160" s="173"/>
      <c r="B160" s="173"/>
    </row>
    <row r="161" customFormat="false" ht="11.25" hidden="false" customHeight="true" outlineLevel="0" collapsed="false">
      <c r="A161" s="173"/>
      <c r="B161" s="173"/>
    </row>
    <row r="162" customFormat="false" ht="11.25" hidden="false" customHeight="true" outlineLevel="0" collapsed="false">
      <c r="A162" s="173"/>
      <c r="B162" s="173"/>
    </row>
    <row r="163" customFormat="false" ht="11.25" hidden="false" customHeight="true" outlineLevel="0" collapsed="false">
      <c r="A163" s="173"/>
      <c r="B163" s="173"/>
    </row>
    <row r="164" customFormat="false" ht="11.25" hidden="false" customHeight="true" outlineLevel="0" collapsed="false">
      <c r="A164" s="173"/>
      <c r="B164" s="173"/>
    </row>
    <row r="165" customFormat="false" ht="11.25" hidden="false" customHeight="true" outlineLevel="0" collapsed="false">
      <c r="A165" s="173"/>
      <c r="B165" s="173"/>
    </row>
    <row r="166" customFormat="false" ht="11.25" hidden="false" customHeight="true" outlineLevel="0" collapsed="false">
      <c r="A166" s="173"/>
      <c r="B166" s="173"/>
    </row>
    <row r="167" customFormat="false" ht="11.25" hidden="false" customHeight="true" outlineLevel="0" collapsed="false">
      <c r="A167" s="173"/>
      <c r="B167" s="173"/>
    </row>
    <row r="168" customFormat="false" ht="11.25" hidden="false" customHeight="true" outlineLevel="0" collapsed="false">
      <c r="A168" s="173"/>
      <c r="B168" s="173"/>
    </row>
    <row r="169" customFormat="false" ht="11.25" hidden="false" customHeight="true" outlineLevel="0" collapsed="false">
      <c r="A169" s="173"/>
      <c r="B169" s="173"/>
    </row>
    <row r="170" customFormat="false" ht="11.25" hidden="false" customHeight="true" outlineLevel="0" collapsed="false">
      <c r="A170" s="173"/>
      <c r="B170" s="173"/>
    </row>
    <row r="171" customFormat="false" ht="11.25" hidden="false" customHeight="true" outlineLevel="0" collapsed="false">
      <c r="A171" s="173"/>
      <c r="B171" s="173"/>
    </row>
    <row r="172" customFormat="false" ht="11.25" hidden="false" customHeight="true" outlineLevel="0" collapsed="false">
      <c r="A172" s="173"/>
      <c r="B172" s="173"/>
    </row>
    <row r="173" customFormat="false" ht="11.25" hidden="false" customHeight="true" outlineLevel="0" collapsed="false">
      <c r="A173" s="173"/>
      <c r="B173" s="173"/>
    </row>
    <row r="174" customFormat="false" ht="11.25" hidden="false" customHeight="true" outlineLevel="0" collapsed="false">
      <c r="A174" s="173"/>
      <c r="B174" s="173"/>
    </row>
    <row r="175" customFormat="false" ht="11.25" hidden="false" customHeight="true" outlineLevel="0" collapsed="false">
      <c r="A175" s="173"/>
      <c r="B175" s="173"/>
    </row>
    <row r="176" customFormat="false" ht="11.25" hidden="false" customHeight="true" outlineLevel="0" collapsed="false">
      <c r="A176" s="173"/>
      <c r="B176" s="173"/>
    </row>
    <row r="177" customFormat="false" ht="11.25" hidden="false" customHeight="true" outlineLevel="0" collapsed="false">
      <c r="A177" s="173"/>
      <c r="B177" s="173"/>
    </row>
    <row r="178" customFormat="false" ht="11.25" hidden="false" customHeight="true" outlineLevel="0" collapsed="false">
      <c r="A178" s="173"/>
      <c r="B178" s="173"/>
    </row>
    <row r="179" customFormat="false" ht="11.25" hidden="false" customHeight="true" outlineLevel="0" collapsed="false">
      <c r="A179" s="173"/>
      <c r="B179" s="173"/>
    </row>
    <row r="180" customFormat="false" ht="11.25" hidden="false" customHeight="true" outlineLevel="0" collapsed="false">
      <c r="A180" s="173"/>
      <c r="B180" s="173"/>
    </row>
    <row r="181" customFormat="false" ht="11.25" hidden="false" customHeight="true" outlineLevel="0" collapsed="false">
      <c r="A181" s="173"/>
      <c r="B181" s="173"/>
    </row>
    <row r="182" customFormat="false" ht="11.25" hidden="false" customHeight="true" outlineLevel="0" collapsed="false">
      <c r="A182" s="173"/>
      <c r="B182" s="173"/>
    </row>
    <row r="183" customFormat="false" ht="11.25" hidden="false" customHeight="true" outlineLevel="0" collapsed="false">
      <c r="A183" s="173"/>
      <c r="B183" s="173"/>
    </row>
    <row r="184" customFormat="false" ht="11.25" hidden="false" customHeight="true" outlineLevel="0" collapsed="false">
      <c r="A184" s="173"/>
      <c r="B184" s="173"/>
    </row>
    <row r="185" customFormat="false" ht="11.25" hidden="false" customHeight="true" outlineLevel="0" collapsed="false">
      <c r="A185" s="173"/>
      <c r="B185" s="173"/>
    </row>
    <row r="186" customFormat="false" ht="11.25" hidden="false" customHeight="true" outlineLevel="0" collapsed="false">
      <c r="A186" s="173"/>
      <c r="B186" s="173"/>
    </row>
    <row r="187" customFormat="false" ht="11.25" hidden="false" customHeight="true" outlineLevel="0" collapsed="false">
      <c r="A187" s="173"/>
      <c r="B187" s="173"/>
    </row>
    <row r="188" customFormat="false" ht="11.25" hidden="false" customHeight="true" outlineLevel="0" collapsed="false">
      <c r="A188" s="173"/>
      <c r="B188" s="173"/>
    </row>
    <row r="189" customFormat="false" ht="11.25" hidden="false" customHeight="true" outlineLevel="0" collapsed="false">
      <c r="A189" s="173"/>
      <c r="B189" s="173"/>
    </row>
    <row r="190" customFormat="false" ht="11.25" hidden="false" customHeight="true" outlineLevel="0" collapsed="false">
      <c r="A190" s="173"/>
      <c r="B190" s="173"/>
    </row>
    <row r="191" customFormat="false" ht="11.25" hidden="false" customHeight="true" outlineLevel="0" collapsed="false">
      <c r="A191" s="173"/>
      <c r="B191" s="173"/>
    </row>
    <row r="192" customFormat="false" ht="11.25" hidden="false" customHeight="true" outlineLevel="0" collapsed="false">
      <c r="A192" s="173"/>
      <c r="B192" s="173"/>
    </row>
    <row r="193" customFormat="false" ht="11.25" hidden="false" customHeight="true" outlineLevel="0" collapsed="false">
      <c r="A193" s="173"/>
      <c r="B193" s="173"/>
    </row>
    <row r="194" customFormat="false" ht="11.25" hidden="false" customHeight="true" outlineLevel="0" collapsed="false">
      <c r="A194" s="173"/>
      <c r="B194" s="173"/>
    </row>
    <row r="195" customFormat="false" ht="11.25" hidden="false" customHeight="true" outlineLevel="0" collapsed="false">
      <c r="A195" s="173"/>
      <c r="B195" s="173"/>
    </row>
    <row r="196" customFormat="false" ht="11.25" hidden="false" customHeight="true" outlineLevel="0" collapsed="false">
      <c r="A196" s="173"/>
      <c r="B196" s="173"/>
    </row>
    <row r="197" customFormat="false" ht="11.25" hidden="false" customHeight="true" outlineLevel="0" collapsed="false">
      <c r="A197" s="173"/>
      <c r="B197" s="173"/>
    </row>
    <row r="198" customFormat="false" ht="11.25" hidden="false" customHeight="true" outlineLevel="0" collapsed="false">
      <c r="A198" s="173"/>
      <c r="B198" s="173"/>
    </row>
    <row r="199" customFormat="false" ht="11.25" hidden="false" customHeight="true" outlineLevel="0" collapsed="false">
      <c r="A199" s="173"/>
      <c r="B199" s="173"/>
    </row>
    <row r="200" customFormat="false" ht="11.25" hidden="false" customHeight="true" outlineLevel="0" collapsed="false">
      <c r="A200" s="173"/>
      <c r="B200" s="173"/>
    </row>
    <row r="201" customFormat="false" ht="11.25" hidden="false" customHeight="true" outlineLevel="0" collapsed="false">
      <c r="A201" s="173"/>
      <c r="B201" s="173"/>
    </row>
    <row r="202" customFormat="false" ht="11.25" hidden="false" customHeight="true" outlineLevel="0" collapsed="false">
      <c r="A202" s="173"/>
      <c r="B202" s="173"/>
    </row>
    <row r="203" customFormat="false" ht="11.25" hidden="false" customHeight="true" outlineLevel="0" collapsed="false">
      <c r="A203" s="173"/>
      <c r="B203" s="173"/>
    </row>
    <row r="204" customFormat="false" ht="11.25" hidden="false" customHeight="true" outlineLevel="0" collapsed="false">
      <c r="A204" s="173"/>
      <c r="B204" s="173"/>
    </row>
    <row r="205" customFormat="false" ht="11.25" hidden="false" customHeight="true" outlineLevel="0" collapsed="false">
      <c r="A205" s="173"/>
      <c r="B205" s="173"/>
    </row>
    <row r="206" customFormat="false" ht="11.25" hidden="false" customHeight="true" outlineLevel="0" collapsed="false">
      <c r="A206" s="173"/>
      <c r="B206" s="173"/>
    </row>
    <row r="207" customFormat="false" ht="11.25" hidden="false" customHeight="true" outlineLevel="0" collapsed="false">
      <c r="A207" s="173"/>
      <c r="B207" s="173"/>
    </row>
    <row r="208" customFormat="false" ht="11.25" hidden="false" customHeight="true" outlineLevel="0" collapsed="false">
      <c r="A208" s="173"/>
      <c r="B208" s="173"/>
    </row>
    <row r="209" customFormat="false" ht="11.25" hidden="false" customHeight="true" outlineLevel="0" collapsed="false">
      <c r="A209" s="173"/>
      <c r="B209" s="173"/>
    </row>
    <row r="210" customFormat="false" ht="11.25" hidden="false" customHeight="true" outlineLevel="0" collapsed="false">
      <c r="A210" s="173"/>
      <c r="B210" s="173"/>
    </row>
    <row r="211" customFormat="false" ht="11.25" hidden="false" customHeight="true" outlineLevel="0" collapsed="false">
      <c r="A211" s="173"/>
      <c r="B211" s="173"/>
    </row>
    <row r="212" customFormat="false" ht="11.25" hidden="false" customHeight="true" outlineLevel="0" collapsed="false">
      <c r="A212" s="173"/>
      <c r="B212" s="173"/>
    </row>
    <row r="213" customFormat="false" ht="11.25" hidden="false" customHeight="true" outlineLevel="0" collapsed="false">
      <c r="A213" s="173"/>
      <c r="B213" s="173"/>
    </row>
    <row r="214" customFormat="false" ht="11.25" hidden="false" customHeight="true" outlineLevel="0" collapsed="false">
      <c r="A214" s="173"/>
      <c r="B214" s="173"/>
    </row>
    <row r="215" customFormat="false" ht="11.25" hidden="false" customHeight="true" outlineLevel="0" collapsed="false">
      <c r="A215" s="173"/>
      <c r="B215" s="173"/>
    </row>
    <row r="216" customFormat="false" ht="11.25" hidden="false" customHeight="true" outlineLevel="0" collapsed="false">
      <c r="A216" s="173"/>
      <c r="B216" s="173"/>
    </row>
    <row r="217" customFormat="false" ht="11.25" hidden="false" customHeight="true" outlineLevel="0" collapsed="false">
      <c r="A217" s="173"/>
      <c r="B217" s="173"/>
    </row>
    <row r="218" customFormat="false" ht="11.25" hidden="false" customHeight="true" outlineLevel="0" collapsed="false">
      <c r="A218" s="173"/>
      <c r="B218" s="173"/>
    </row>
    <row r="219" customFormat="false" ht="11.25" hidden="false" customHeight="true" outlineLevel="0" collapsed="false">
      <c r="A219" s="173"/>
      <c r="B219" s="173"/>
    </row>
    <row r="220" customFormat="false" ht="11.25" hidden="false" customHeight="true" outlineLevel="0" collapsed="false">
      <c r="A220" s="173"/>
      <c r="B220" s="173"/>
    </row>
    <row r="221" customFormat="false" ht="11.25" hidden="false" customHeight="true" outlineLevel="0" collapsed="false">
      <c r="A221" s="173"/>
      <c r="B221" s="173"/>
    </row>
    <row r="222" customFormat="false" ht="11.25" hidden="false" customHeight="true" outlineLevel="0" collapsed="false">
      <c r="A222" s="173"/>
      <c r="B222" s="173"/>
    </row>
    <row r="223" customFormat="false" ht="11.25" hidden="false" customHeight="true" outlineLevel="0" collapsed="false">
      <c r="A223" s="173"/>
      <c r="B223" s="173"/>
    </row>
    <row r="224" customFormat="false" ht="11.25" hidden="false" customHeight="true" outlineLevel="0" collapsed="false">
      <c r="A224" s="173"/>
      <c r="B224" s="173"/>
    </row>
    <row r="225" customFormat="false" ht="11.25" hidden="false" customHeight="true" outlineLevel="0" collapsed="false">
      <c r="A225" s="173"/>
      <c r="B225" s="173"/>
    </row>
    <row r="226" customFormat="false" ht="11.25" hidden="false" customHeight="true" outlineLevel="0" collapsed="false">
      <c r="A226" s="173"/>
      <c r="B226" s="173"/>
    </row>
    <row r="227" customFormat="false" ht="11.25" hidden="false" customHeight="true" outlineLevel="0" collapsed="false">
      <c r="A227" s="173"/>
      <c r="B227" s="173"/>
    </row>
    <row r="228" customFormat="false" ht="11.25" hidden="false" customHeight="true" outlineLevel="0" collapsed="false">
      <c r="A228" s="173"/>
      <c r="B228" s="173"/>
    </row>
    <row r="229" customFormat="false" ht="11.25" hidden="false" customHeight="true" outlineLevel="0" collapsed="false">
      <c r="A229" s="173"/>
      <c r="B229" s="173"/>
    </row>
    <row r="230" customFormat="false" ht="11.25" hidden="false" customHeight="true" outlineLevel="0" collapsed="false">
      <c r="A230" s="173"/>
      <c r="B230" s="173"/>
    </row>
    <row r="231" customFormat="false" ht="11.25" hidden="false" customHeight="true" outlineLevel="0" collapsed="false">
      <c r="A231" s="173"/>
      <c r="B231" s="173"/>
    </row>
    <row r="232" customFormat="false" ht="11.25" hidden="false" customHeight="true" outlineLevel="0" collapsed="false">
      <c r="A232" s="173"/>
      <c r="B232" s="173"/>
    </row>
    <row r="233" customFormat="false" ht="11.25" hidden="false" customHeight="true" outlineLevel="0" collapsed="false">
      <c r="A233" s="173"/>
      <c r="B233" s="173"/>
    </row>
    <row r="234" customFormat="false" ht="11.25" hidden="false" customHeight="true" outlineLevel="0" collapsed="false">
      <c r="A234" s="173"/>
      <c r="B234" s="173"/>
    </row>
    <row r="235" customFormat="false" ht="11.25" hidden="false" customHeight="true" outlineLevel="0" collapsed="false">
      <c r="A235" s="173"/>
      <c r="B235" s="173"/>
    </row>
    <row r="236" customFormat="false" ht="11.25" hidden="false" customHeight="true" outlineLevel="0" collapsed="false">
      <c r="A236" s="173"/>
      <c r="B236" s="173"/>
    </row>
    <row r="237" customFormat="false" ht="11.25" hidden="false" customHeight="true" outlineLevel="0" collapsed="false">
      <c r="A237" s="173"/>
      <c r="B237" s="173"/>
    </row>
    <row r="238" customFormat="false" ht="11.25" hidden="false" customHeight="true" outlineLevel="0" collapsed="false">
      <c r="A238" s="173"/>
      <c r="B238" s="173"/>
    </row>
    <row r="239" customFormat="false" ht="11.25" hidden="false" customHeight="true" outlineLevel="0" collapsed="false">
      <c r="A239" s="173"/>
      <c r="B239" s="173"/>
    </row>
    <row r="240" customFormat="false" ht="11.25" hidden="false" customHeight="true" outlineLevel="0" collapsed="false">
      <c r="A240" s="173"/>
      <c r="B240" s="173"/>
    </row>
    <row r="241" customFormat="false" ht="11.25" hidden="false" customHeight="true" outlineLevel="0" collapsed="false">
      <c r="A241" s="173"/>
      <c r="B241" s="173"/>
    </row>
    <row r="242" customFormat="false" ht="11.25" hidden="false" customHeight="true" outlineLevel="0" collapsed="false">
      <c r="A242" s="173"/>
      <c r="B242" s="173"/>
    </row>
    <row r="243" customFormat="false" ht="11.25" hidden="false" customHeight="true" outlineLevel="0" collapsed="false">
      <c r="A243" s="173"/>
      <c r="B243" s="173"/>
    </row>
    <row r="244" customFormat="false" ht="11.25" hidden="false" customHeight="true" outlineLevel="0" collapsed="false">
      <c r="A244" s="173"/>
      <c r="B244" s="173"/>
    </row>
    <row r="245" customFormat="false" ht="11.25" hidden="false" customHeight="true" outlineLevel="0" collapsed="false">
      <c r="A245" s="173"/>
      <c r="B245" s="173"/>
    </row>
    <row r="246" customFormat="false" ht="11.25" hidden="false" customHeight="true" outlineLevel="0" collapsed="false">
      <c r="A246" s="173"/>
      <c r="B246" s="173"/>
    </row>
    <row r="247" customFormat="false" ht="11.25" hidden="false" customHeight="true" outlineLevel="0" collapsed="false">
      <c r="A247" s="173"/>
      <c r="B247" s="173"/>
    </row>
    <row r="248" customFormat="false" ht="11.25" hidden="false" customHeight="true" outlineLevel="0" collapsed="false">
      <c r="A248" s="173"/>
      <c r="B248" s="173"/>
    </row>
    <row r="249" customFormat="false" ht="11.25" hidden="false" customHeight="true" outlineLevel="0" collapsed="false">
      <c r="A249" s="173"/>
      <c r="B249" s="173"/>
    </row>
    <row r="250" customFormat="false" ht="11.25" hidden="false" customHeight="true" outlineLevel="0" collapsed="false">
      <c r="A250" s="173"/>
      <c r="B250" s="173"/>
    </row>
    <row r="251" customFormat="false" ht="11.25" hidden="false" customHeight="true" outlineLevel="0" collapsed="false">
      <c r="A251" s="173"/>
      <c r="B251" s="173"/>
    </row>
    <row r="252" customFormat="false" ht="11.25" hidden="false" customHeight="true" outlineLevel="0" collapsed="false">
      <c r="A252" s="173"/>
      <c r="B252" s="173"/>
    </row>
    <row r="253" customFormat="false" ht="11.25" hidden="false" customHeight="true" outlineLevel="0" collapsed="false">
      <c r="A253" s="173"/>
      <c r="B253" s="173"/>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true" hidden="false" outlineLevel="0" max="1" min="1" style="53" width="3.71"/>
    <col collapsed="false" customWidth="true" hidden="false" outlineLevel="0" max="2" min="2" style="53" width="90.71"/>
    <col collapsed="false" customWidth="false" hidden="false" outlineLevel="0" max="4" min="3" style="53" width="9.14"/>
  </cols>
  <sheetData>
    <row r="1" customFormat="false" ht="11.25" hidden="false" customHeight="true" outlineLevel="0" collapsed="false">
      <c r="B1" s="1200" t="s">
        <v>3954</v>
      </c>
    </row>
    <row r="2" customFormat="false" ht="90" hidden="false" customHeight="true" outlineLevel="0" collapsed="false">
      <c r="B2" s="1201" t="s">
        <v>3955</v>
      </c>
    </row>
    <row r="3" customFormat="false" ht="67.5" hidden="false" customHeight="true" outlineLevel="0" collapsed="false">
      <c r="B3" s="1201" t="s">
        <v>3956</v>
      </c>
    </row>
    <row r="4" customFormat="false" ht="33.75" hidden="false" customHeight="true" outlineLevel="0" collapsed="false">
      <c r="B4" s="1201" t="s">
        <v>3957</v>
      </c>
    </row>
    <row r="5" customFormat="false" ht="11.25" hidden="false" customHeight="true" outlineLevel="0" collapsed="false">
      <c r="B5" s="1201" t="s">
        <v>3958</v>
      </c>
    </row>
    <row r="6" customFormat="false" ht="22.5" hidden="false" customHeight="true" outlineLevel="0" collapsed="false">
      <c r="B6" s="1201" t="s">
        <v>3959</v>
      </c>
    </row>
    <row r="7" customFormat="false" ht="22.5" hidden="false" customHeight="true" outlineLevel="0" collapsed="false">
      <c r="B7" s="1201" t="s">
        <v>3960</v>
      </c>
    </row>
    <row r="8" customFormat="false" ht="22.5" hidden="false" customHeight="true" outlineLevel="0" collapsed="false">
      <c r="B8" s="1201" t="s">
        <v>3961</v>
      </c>
    </row>
    <row r="9" customFormat="false" ht="22.5" hidden="false" customHeight="true" outlineLevel="0" collapsed="false">
      <c r="B9" s="1201" t="s">
        <v>3962</v>
      </c>
    </row>
    <row r="10" customFormat="false" ht="56.25" hidden="false" customHeight="true" outlineLevel="0" collapsed="false">
      <c r="B10" s="1201" t="s">
        <v>3963</v>
      </c>
    </row>
    <row r="11" customFormat="false" ht="12.75" hidden="false" customHeight="true" outlineLevel="0" collapsed="false">
      <c r="B11" s="1202" t="s">
        <v>3964</v>
      </c>
    </row>
    <row r="12" customFormat="false" ht="11.25" hidden="false" customHeight="true" outlineLevel="0" collapsed="false">
      <c r="B12" s="1200" t="s">
        <v>3965</v>
      </c>
    </row>
    <row r="13" customFormat="false" ht="22.5" hidden="false" customHeight="true" outlineLevel="0" collapsed="false">
      <c r="B13" s="1201" t="s">
        <v>3966</v>
      </c>
    </row>
    <row r="14" customFormat="false" ht="67.5" hidden="false" customHeight="true" outlineLevel="0" collapsed="false">
      <c r="B14" s="1201" t="s">
        <v>3967</v>
      </c>
    </row>
    <row r="15" customFormat="false" ht="22.5" hidden="false" customHeight="true" outlineLevel="0" collapsed="false">
      <c r="B15" s="1201" t="s">
        <v>3968</v>
      </c>
    </row>
    <row r="16" customFormat="false" ht="11.25" hidden="false" customHeight="true" outlineLevel="0" collapsed="false">
      <c r="B16" s="1200" t="s">
        <v>3969</v>
      </c>
      <c r="D16" s="666"/>
    </row>
    <row r="17" customFormat="false" ht="33.75" hidden="false" customHeight="true" outlineLevel="0" collapsed="false">
      <c r="B17" s="1201" t="s">
        <v>3970</v>
      </c>
    </row>
    <row r="18" customFormat="false" ht="33.75" hidden="false" customHeight="true" outlineLevel="0" collapsed="false">
      <c r="B18" s="1201" t="s">
        <v>3971</v>
      </c>
    </row>
    <row r="19" customFormat="false" ht="11.25" hidden="false" customHeight="true" outlineLevel="0" collapsed="false">
      <c r="B19" s="1201" t="s">
        <v>3972</v>
      </c>
    </row>
    <row r="20" customFormat="false" ht="33.75" hidden="false" customHeight="true" outlineLevel="0" collapsed="false">
      <c r="B20" s="1201" t="s">
        <v>3973</v>
      </c>
    </row>
    <row r="21" customFormat="false" ht="11.25" hidden="false" customHeight="true" outlineLevel="0" collapsed="false">
      <c r="B21" s="1200" t="s">
        <v>3974</v>
      </c>
    </row>
    <row r="22" customFormat="false" ht="11.25" hidden="false" customHeight="true" outlineLevel="0" collapsed="false">
      <c r="B22" s="1201" t="s">
        <v>3975</v>
      </c>
    </row>
    <row r="24" customFormat="false" ht="22.5" hidden="false" customHeight="true" outlineLevel="0" collapsed="false">
      <c r="B24" s="1203" t="s">
        <v>3976</v>
      </c>
    </row>
    <row r="26" customFormat="false" ht="11.25" hidden="false" customHeight="true" outlineLevel="0" collapsed="false">
      <c r="B26" s="1200" t="s">
        <v>3977</v>
      </c>
    </row>
    <row r="27" customFormat="false" ht="22.5" hidden="false" customHeight="true" outlineLevel="0" collapsed="false">
      <c r="B27" s="370" t="s">
        <v>412</v>
      </c>
    </row>
    <row r="28" customFormat="false" ht="56.25" hidden="false" customHeight="true" outlineLevel="0" collapsed="false">
      <c r="B28" s="370" t="s">
        <v>3978</v>
      </c>
    </row>
    <row r="29" customFormat="false" ht="11.25" hidden="false" customHeight="true" outlineLevel="0" collapsed="false">
      <c r="B29" s="1204" t="s">
        <v>3979</v>
      </c>
    </row>
    <row r="30" customFormat="false" ht="22.5" hidden="false" customHeight="true" outlineLevel="0" collapsed="false">
      <c r="B30" s="370" t="s">
        <v>3980</v>
      </c>
    </row>
    <row r="32" customFormat="false" ht="11.25" hidden="false" customHeight="true" outlineLevel="0" collapsed="false">
      <c r="B32" s="1205" t="s">
        <v>3981</v>
      </c>
    </row>
    <row r="33" customFormat="false" ht="14.25" hidden="false" customHeight="true" outlineLevel="0" collapsed="false">
      <c r="A33" s="1206" t="n">
        <v>1</v>
      </c>
      <c r="B33" s="1207" t="s">
        <v>3982</v>
      </c>
    </row>
    <row r="34" customFormat="false" ht="14.25" hidden="false" customHeight="true" outlineLevel="0" collapsed="false">
      <c r="A34" s="1206" t="n">
        <v>2</v>
      </c>
      <c r="B34" s="1207" t="s">
        <v>3983</v>
      </c>
    </row>
    <row r="35" customFormat="false" ht="11.25" hidden="false" customHeight="true" outlineLevel="0" collapsed="false">
      <c r="B35" s="1205" t="s">
        <v>3984</v>
      </c>
    </row>
    <row r="36" customFormat="false" ht="11.25" hidden="false" customHeight="true" outlineLevel="0" collapsed="false">
      <c r="B36" s="1207" t="s">
        <v>3985</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LibreOffice/7.4.3.2$Linux_X86_64 LibreOffice_project/40$Build-2</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cp:lastModifiedBy>
  <cp:lastPrinted>2013-08-29T08:11:20Z</cp:lastPrinted>
  <dcterms:modified xsi:type="dcterms:W3CDTF">2023-11-10T12:28:34Z</dcterms:modified>
  <cp:revision>0</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